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Waitlist" sheetId="2" state="visible" r:id="rId2"/>
    <sheet xmlns:r="http://schemas.openxmlformats.org/officeDocument/2006/relationships" name="Setup" sheetId="3" state="visible" r:id="rId3"/>
  </sheets>
  <definedNames>
    <definedName name="_xlnm._FilterDatabase" localSheetId="1" hidden="1">'Waitlist'!$A$1:$U$201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C6F73"/>
      <sz val="10"/>
    </font>
    <font>
      <name val="Calibri"/>
      <b val="1"/>
      <color rgb="00FFFFFF"/>
      <sz val="10"/>
    </font>
    <font>
      <name val="Calibri"/>
      <b val="1"/>
      <color rgb="0024383F"/>
      <sz val="10"/>
    </font>
    <font>
      <name val="Calibri"/>
      <color rgb="0024383F"/>
      <sz val="10"/>
    </font>
    <font>
      <name val="Calibri"/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D56A4A"/>
      </patternFill>
    </fill>
    <fill>
      <patternFill patternType="solid">
        <fgColor rgb="00FFF1C9"/>
      </patternFill>
    </fill>
    <fill>
      <patternFill patternType="solid">
        <fgColor rgb="00E7ECEA"/>
      </patternFill>
    </fill>
    <fill>
      <patternFill patternType="solid">
        <fgColor rgb="00FCE5CD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1" fontId="5" fillId="3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165" fontId="5" fillId="7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2" fillId="8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5" fillId="7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color rgb="00B84A3A"/>
        <sz val="10"/>
      </font>
      <fill>
        <patternFill patternType="solid">
          <fgColor rgb="00FCE5CD"/>
        </patternFill>
      </fill>
    </dxf>
    <dxf>
      <font>
        <name val="Calibri"/>
        <color rgb="00B84A3A"/>
        <sz val="10"/>
      </font>
      <fill>
        <patternFill patternType="solid">
          <fgColor rgb="00F4CCCC"/>
        </patternFill>
      </fill>
    </dxf>
    <dxf>
      <font>
        <name val="Calibri"/>
        <color rgb="0024383F"/>
        <sz val="10"/>
      </font>
      <fill>
        <patternFill patternType="solid">
          <fgColor rgb="00D9E1E0"/>
        </patternFill>
      </fill>
    </dxf>
    <dxf>
      <fill>
        <patternFill patternType="solid">
          <fgColor rgb="00FFF1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Ready Requests by Age Group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'Summary'!C12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'Summary'!$A$13:$A$16</f>
            </numRef>
          </cat>
          <val>
            <numRef>
              <f>'Summary'!$C$13:$C$16</f>
            </numRef>
          </val>
        </ser>
        <dLbls>
          <showVal val="1"/>
        </dLbls>
        <gapWidth val="65"/>
        <overlap val="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32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E16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17" customWidth="1" min="3" max="3"/>
    <col width="19" customWidth="1" min="4" max="4"/>
    <col width="20" customWidth="1" min="5" max="5"/>
  </cols>
  <sheetData>
    <row r="1" ht="28" customHeight="1">
      <c r="A1" s="1" t="inlineStr">
        <is>
          <t>Daycare Waitlist Summary</t>
        </is>
      </c>
      <c r="B1" s="25" t="n"/>
      <c r="C1" s="25" t="n"/>
      <c r="D1" s="25" t="n"/>
      <c r="E1" s="26" t="n"/>
    </row>
    <row r="2" ht="30" customHeight="1">
      <c r="A2" s="3" t="inlineStr">
        <is>
          <t>Administrative queue-review aid only. Confirm current availability and center policy before taking action.</t>
        </is>
      </c>
    </row>
    <row r="3">
      <c r="A3" s="4" t="inlineStr">
        <is>
          <t>Overall Indicator</t>
        </is>
      </c>
      <c r="B3" s="4" t="inlineStr">
        <is>
          <t>Current Value</t>
        </is>
      </c>
    </row>
    <row r="4">
      <c r="A4" s="5" t="inlineStr">
        <is>
          <t>Review As Of</t>
        </is>
      </c>
      <c r="B4" s="6">
        <f>Setup!$I$4</f>
        <v/>
      </c>
    </row>
    <row r="5">
      <c r="A5" s="7" t="inlineStr">
        <is>
          <t>Active Requests</t>
        </is>
      </c>
      <c r="B5" s="8">
        <f>COUNTIF(Waitlist!$I$2:$I$201,"Active")</f>
        <v/>
      </c>
    </row>
    <row r="6">
      <c r="A6" s="5" t="inlineStr">
        <is>
          <t>Ready for Review</t>
        </is>
      </c>
      <c r="B6" s="9">
        <f>COUNTIF(Waitlist!$R$2:$R$201,"Ready")</f>
        <v/>
      </c>
    </row>
    <row r="7">
      <c r="A7" s="7" t="inlineStr">
        <is>
          <t>Active Rows Not Ready</t>
        </is>
      </c>
      <c r="B7" s="8">
        <f>COUNTIFS(Waitlist!$A$2:$A$201,"&lt;&gt;",Waitlist!$I$2:$I$201,"Active",Waitlist!$R$2:$R$201,"&lt;&gt;Ready")</f>
        <v/>
      </c>
    </row>
    <row r="8">
      <c r="A8" s="5" t="inlineStr">
        <is>
          <t>Follow-Up Attention</t>
        </is>
      </c>
      <c r="B8" s="9">
        <f>COUNTIFS(Waitlist!$I$2:$I$201,"Active",Waitlist!$L$2:$L$201,"&lt;&gt;",Waitlist!$L$2:$L$201,"&lt;="&amp;Setup!$I$4+Setup!$I$9)</f>
        <v/>
      </c>
    </row>
    <row r="9">
      <c r="A9" s="7" t="inlineStr">
        <is>
          <t>Active Rows Without Age Group</t>
        </is>
      </c>
      <c r="B9" s="8">
        <f>COUNTIFS(Waitlist!$I$2:$I$201,"Active",Waitlist!$N$2:$N$201,"")+COUNTIFS(Waitlist!$I$2:$I$201,"Active",Waitlist!$N$2:$N$201,"Outside configured ranges")</f>
        <v/>
      </c>
    </row>
    <row r="10"/>
    <row r="11" ht="22" customHeight="1">
      <c r="A11" s="10" t="inlineStr">
        <is>
          <t>Age Group Workload</t>
        </is>
      </c>
      <c r="B11" s="10" t="n"/>
      <c r="C11" s="10" t="n"/>
      <c r="D11" s="10" t="n"/>
      <c r="E11" s="10" t="n"/>
    </row>
    <row r="12" ht="34" customHeight="1">
      <c r="A12" s="4" t="inlineStr">
        <is>
          <t>Age Group</t>
        </is>
      </c>
      <c r="B12" s="4" t="inlineStr">
        <is>
          <t>Active Requests</t>
        </is>
      </c>
      <c r="C12" s="4" t="inlineStr">
        <is>
          <t>Ready for Review</t>
        </is>
      </c>
      <c r="D12" s="4" t="inlineStr">
        <is>
          <t>Average Wait Days</t>
        </is>
      </c>
      <c r="E12" s="4" t="inlineStr">
        <is>
          <t>Follow-Up Attention</t>
        </is>
      </c>
    </row>
    <row r="13">
      <c r="A13" s="11">
        <f>Setup!B4</f>
        <v/>
      </c>
      <c r="B13" s="8">
        <f>COUNTIFS(Waitlist!$I$2:$I$201,"Active",Waitlist!$N$2:$N$201,$A13)</f>
        <v/>
      </c>
      <c r="C13" s="8">
        <f>COUNTIFS(Waitlist!$R$2:$R$201,"Ready",Waitlist!$N$2:$N$201,$A13)</f>
        <v/>
      </c>
      <c r="D13" s="8">
        <f>IF(C13=0,"",IFERROR(SUMIFS(Waitlist!$O$2:$O$201,Waitlist!$R$2:$R$201,"Ready",Waitlist!$N$2:$N$201,$A13)/C13,""))</f>
        <v/>
      </c>
      <c r="E13" s="8">
        <f>COUNTIFS(Waitlist!$I$2:$I$201,"Active",Waitlist!$N$2:$N$201,$A13,Waitlist!$L$2:$L$201,"&lt;&gt;",Waitlist!$L$2:$L$201,"&lt;="&amp;Setup!$I$4+Setup!$I$9)</f>
        <v/>
      </c>
    </row>
    <row r="14">
      <c r="A14" s="12">
        <f>Setup!B5</f>
        <v/>
      </c>
      <c r="B14" s="9">
        <f>COUNTIFS(Waitlist!$I$2:$I$201,"Active",Waitlist!$N$2:$N$201,$A14)</f>
        <v/>
      </c>
      <c r="C14" s="9">
        <f>COUNTIFS(Waitlist!$R$2:$R$201,"Ready",Waitlist!$N$2:$N$201,$A14)</f>
        <v/>
      </c>
      <c r="D14" s="9">
        <f>IF(C14=0,"",IFERROR(SUMIFS(Waitlist!$O$2:$O$201,Waitlist!$R$2:$R$201,"Ready",Waitlist!$N$2:$N$201,$A14)/C14,""))</f>
        <v/>
      </c>
      <c r="E14" s="9">
        <f>COUNTIFS(Waitlist!$I$2:$I$201,"Active",Waitlist!$N$2:$N$201,$A14,Waitlist!$L$2:$L$201,"&lt;&gt;",Waitlist!$L$2:$L$201,"&lt;="&amp;Setup!$I$4+Setup!$I$9)</f>
        <v/>
      </c>
    </row>
    <row r="15">
      <c r="A15" s="11">
        <f>Setup!B6</f>
        <v/>
      </c>
      <c r="B15" s="8">
        <f>COUNTIFS(Waitlist!$I$2:$I$201,"Active",Waitlist!$N$2:$N$201,$A15)</f>
        <v/>
      </c>
      <c r="C15" s="8">
        <f>COUNTIFS(Waitlist!$R$2:$R$201,"Ready",Waitlist!$N$2:$N$201,$A15)</f>
        <v/>
      </c>
      <c r="D15" s="8">
        <f>IF(C15=0,"",IFERROR(SUMIFS(Waitlist!$O$2:$O$201,Waitlist!$R$2:$R$201,"Ready",Waitlist!$N$2:$N$201,$A15)/C15,""))</f>
        <v/>
      </c>
      <c r="E15" s="8">
        <f>COUNTIFS(Waitlist!$I$2:$I$201,"Active",Waitlist!$N$2:$N$201,$A15,Waitlist!$L$2:$L$201,"&lt;&gt;",Waitlist!$L$2:$L$201,"&lt;="&amp;Setup!$I$4+Setup!$I$9)</f>
        <v/>
      </c>
    </row>
    <row r="16">
      <c r="A16" s="12">
        <f>Setup!B7</f>
        <v/>
      </c>
      <c r="B16" s="9">
        <f>COUNTIFS(Waitlist!$I$2:$I$201,"Active",Waitlist!$N$2:$N$201,$A16)</f>
        <v/>
      </c>
      <c r="C16" s="9">
        <f>COUNTIFS(Waitlist!$R$2:$R$201,"Ready",Waitlist!$N$2:$N$201,$A16)</f>
        <v/>
      </c>
      <c r="D16" s="9">
        <f>IF(C16=0,"",IFERROR(SUMIFS(Waitlist!$O$2:$O$201,Waitlist!$R$2:$R$201,"Ready",Waitlist!$N$2:$N$201,$A16)/C16,""))</f>
        <v/>
      </c>
      <c r="E16" s="9">
        <f>COUNTIFS(Waitlist!$I$2:$I$201,"Active",Waitlist!$N$2:$N$201,$A16,Waitlist!$L$2:$L$201,"&lt;&gt;",Waitlist!$L$2:$L$201,"&lt;="&amp;Setup!$I$4+Setup!$I$9)</f>
        <v/>
      </c>
    </row>
  </sheetData>
  <mergeCells count="1">
    <mergeCell ref="A1:E1"/>
  </mergeCells>
  <conditionalFormatting sqref="B6">
    <cfRule type="expression" priority="1" dxfId="0">
      <formula>B6&gt;0</formula>
    </cfRule>
  </conditionalFormatting>
  <conditionalFormatting sqref="B7:B9">
    <cfRule type="expression" priority="2" dxfId="1">
      <formula>B7&gt;0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/>
  </sheetPr>
  <dimension ref="A1:U201"/>
  <sheetViews>
    <sheetView showGridLines="0" zoomScale="75"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20" customWidth="1" min="3" max="3"/>
    <col width="15" customWidth="1" min="4" max="4"/>
    <col width="17" customWidth="1" min="5" max="5"/>
    <col width="18" customWidth="1" min="6" max="6"/>
    <col width="18" customWidth="1" min="7" max="7"/>
    <col width="18" customWidth="1" min="8" max="8"/>
    <col width="14" customWidth="1" min="9" max="9"/>
    <col width="15" customWidth="1" min="10" max="10"/>
    <col width="21" customWidth="1" min="11" max="11"/>
    <col width="17" customWidth="1" min="12" max="12"/>
    <col width="18" customWidth="1" min="13" max="13"/>
    <col width="20" customWidth="1" min="14" max="14"/>
    <col width="11" customWidth="1" min="15" max="15"/>
    <col width="16" customWidth="1" min="16" max="16"/>
    <col width="15" customWidth="1" min="17" max="17"/>
    <col width="25" customWidth="1" min="18" max="18"/>
    <col width="13" customWidth="1" min="19" max="19"/>
    <col width="17" customWidth="1" min="20" max="20"/>
    <col width="37" customWidth="1" min="21" max="21"/>
  </cols>
  <sheetData>
    <row r="1" ht="46" customHeight="1">
      <c r="A1" s="4" t="inlineStr">
        <is>
          <t>Request ID</t>
        </is>
      </c>
      <c r="B1" s="4" t="inlineStr">
        <is>
          <t>Waitlist Date</t>
        </is>
      </c>
      <c r="C1" s="4" t="inlineStr">
        <is>
          <t>Family Alias</t>
        </is>
      </c>
      <c r="D1" s="4" t="inlineStr">
        <is>
          <t>Child Birth Date</t>
        </is>
      </c>
      <c r="E1" s="4" t="inlineStr">
        <is>
          <t>Preferred Start Date</t>
        </is>
      </c>
      <c r="F1" s="4" t="inlineStr">
        <is>
          <t>Earliest Acceptable Start</t>
        </is>
      </c>
      <c r="G1" s="4" t="inlineStr">
        <is>
          <t>Latest Acceptable Start</t>
        </is>
      </c>
      <c r="H1" s="4" t="inlineStr">
        <is>
          <t>Requested Schedule</t>
        </is>
      </c>
      <c r="I1" s="4" t="inlineStr">
        <is>
          <t>Request Status</t>
        </is>
      </c>
      <c r="J1" s="4" t="inlineStr">
        <is>
          <t>Last Contact Date</t>
        </is>
      </c>
      <c r="K1" s="4" t="inlineStr">
        <is>
          <t>Contact Outcome</t>
        </is>
      </c>
      <c r="L1" s="4" t="inlineStr">
        <is>
          <t>Next Follow-Up Date</t>
        </is>
      </c>
      <c r="M1" s="4" t="inlineStr">
        <is>
          <t>Age at Preferred Start (Months)</t>
        </is>
      </c>
      <c r="N1" s="4" t="inlineStr">
        <is>
          <t>Age Group</t>
        </is>
      </c>
      <c r="O1" s="4" t="inlineStr">
        <is>
          <t>Wait Days</t>
        </is>
      </c>
      <c r="P1" s="4" t="inlineStr">
        <is>
          <t>Window Days Remaining</t>
        </is>
      </c>
      <c r="Q1" s="4" t="inlineStr">
        <is>
          <t>Contact Adjustment</t>
        </is>
      </c>
      <c r="R1" s="4" t="inlineStr">
        <is>
          <t>Review State</t>
        </is>
      </c>
      <c r="S1" s="4" t="inlineStr">
        <is>
          <t>Review Score</t>
        </is>
      </c>
      <c r="T1" s="4" t="inlineStr">
        <is>
          <t>Age Group Review Rank</t>
        </is>
      </c>
      <c r="U1" s="4" t="inlineStr">
        <is>
          <t>Alert</t>
        </is>
      </c>
    </row>
    <row r="2" ht="22" customHeight="1">
      <c r="A2" s="13" t="inlineStr">
        <is>
          <t>WL-1001</t>
        </is>
      </c>
      <c r="B2" s="14" t="n">
        <v>46034</v>
      </c>
      <c r="C2" s="15" t="inlineStr">
        <is>
          <t>Aster Family</t>
        </is>
      </c>
      <c r="D2" s="14" t="n">
        <v>46068</v>
      </c>
      <c r="E2" s="14" t="n">
        <v>46300</v>
      </c>
      <c r="F2" s="14" t="n">
        <v>46285</v>
      </c>
      <c r="G2" s="14" t="n">
        <v>46315</v>
      </c>
      <c r="H2" s="15" t="inlineStr">
        <is>
          <t>Full Week</t>
        </is>
      </c>
      <c r="I2" s="13" t="inlineStr">
        <is>
          <t>Active</t>
        </is>
      </c>
      <c r="J2" s="14" t="n">
        <v>46273</v>
      </c>
      <c r="K2" s="15" t="inlineStr">
        <is>
          <t>Reached - Interested</t>
        </is>
      </c>
      <c r="L2" s="14" t="n">
        <v>46276</v>
      </c>
      <c r="M2" s="16">
        <f>IF(OR(D2="",E2=""),"",12*(YEAR(E2)-YEAR(D2))+MONTH(E2)-MONTH(D2)-IF(DAY(E2)&lt;DAY(D2),1,0))</f>
        <v/>
      </c>
      <c r="N2" s="17">
        <f>IF(M2="","",IFERROR(IF(M2&lt;=VLOOKUP(M2,Setup!$A$4:$C$7,3,TRUE),VLOOKUP(M2,Setup!$A$4:$C$7,2,TRUE),"Outside configured ranges"),"Outside configured ranges"))</f>
        <v/>
      </c>
      <c r="O2" s="16">
        <f>IF(OR(B2="",B2&gt;Setup!$I$4),"",Setup!$I$4-B2)</f>
        <v/>
      </c>
      <c r="P2" s="16">
        <f>IF(G2="","",G2-Setup!$I$4)</f>
        <v/>
      </c>
      <c r="Q2" s="27">
        <f>IF(K2="","",IFERROR(VLOOKUP(K2,Setup!$E$4:$F$9,2,FALSE),""))</f>
        <v/>
      </c>
      <c r="R2" s="17">
        <f>IF(A2="","",IF(OR(B2="",C2="",D2="",E2="",F2="",G2="",H2="",I2="",K2=""),"Incomplete",IF(COUNTIF(Setup!$K$4:$K$8,I2)=0,"Invalid status",IF(COUNTIF(Setup!$L$4:$L$8,H2)=0,"Invalid schedule",IF(COUNTIF(Setup!$E$4:$E$9,K2)=0,"Invalid contact outcome",IF(I2&lt;&gt;"Active","Not active",IF(B2&gt;Setup!$I$4,"Future waitlist date",IF(D2&gt;E2,"Invalid age/date",IF(F2&gt;G2,"Invalid window",IF(OR(E2&lt;F2,E2&gt;G2),"Preferred date outside window",IF(G2&lt;Setup!$I$4,"Window expired",IF(OR(M2="",N2="Outside configured ranges"),"Outside age bands","Ready"))))))))))))</f>
        <v/>
      </c>
      <c r="S2" s="27">
        <f>IF(R2&lt;&gt;"Ready","",ROUND(O2*Setup!$I$5+MAX(0,Setup!$I$6-MAX(0,P2))*Setup!$I$7+Q2,1))</f>
        <v/>
      </c>
      <c r="T2" s="16">
        <f>IF(S2="","",1+COUNTIFS($R$2:$R$201,"Ready",$N$2:$N$201,N2,$S$2:$S$201,"&gt;"&amp;S2)+COUNTIFS($R$2:$R$201,"Ready",$N$2:$N$201,N2,$S$2:$S$201,"="&amp;S2,$B$2:$B$201,"&lt;"&amp;B2)+COUNTIFS($R$2:$R$201,"Ready",$N$2:$N$201,N2,$S$2:$S$201,"="&amp;S2,$B$2:$B$201,"="&amp;B2,$A$2:$A$201,"&lt;"&amp;A2))</f>
        <v/>
      </c>
      <c r="U2" s="17">
        <f>IF(A2="","",IF(R2&lt;&gt;"Ready",R2,IF(AND(K2="Not Contacted",J2&lt;&gt;""),"Clear last contact date or update outcome",IF(AND(K2&lt;&gt;"Not Contacted",J2=""),"Add last contact date",IF(AND(J2&lt;&gt;"",J2&gt;Setup!$I$4),"Last contact is after review date",IF(K2="Declined","Align status with declined outcome",IF(AND(L2&lt;&gt;"",L2&gt;G2),"Follow-up is after latest start",IF(AND(L2&lt;&gt;"",L2&lt;Setup!$I$4),"Follow-up overdue",IF(AND(L2&lt;&gt;"",L2&lt;=Setup!$I$4+Setup!$I$9),"Follow-up due soon",IF(AND(J2&lt;&gt;"",Setup!$I$4-J2&gt;Setup!$I$8),"Contact may be stale",""))))))))))</f>
        <v/>
      </c>
    </row>
    <row r="3" ht="22" customHeight="1">
      <c r="A3" s="13" t="inlineStr">
        <is>
          <t>WL-1002</t>
        </is>
      </c>
      <c r="B3" s="14" t="n">
        <v>46084</v>
      </c>
      <c r="C3" s="15" t="inlineStr">
        <is>
          <t>Birch Family</t>
        </is>
      </c>
      <c r="D3" s="14" t="n">
        <v>45301</v>
      </c>
      <c r="E3" s="14" t="n">
        <v>46293</v>
      </c>
      <c r="F3" s="14" t="n">
        <v>46280</v>
      </c>
      <c r="G3" s="14" t="n">
        <v>46295</v>
      </c>
      <c r="H3" s="15" t="inlineStr">
        <is>
          <t>Mon/Wed/Fri</t>
        </is>
      </c>
      <c r="I3" s="13" t="inlineStr">
        <is>
          <t>Active</t>
        </is>
      </c>
      <c r="J3" s="14" t="n">
        <v>46254</v>
      </c>
      <c r="K3" s="15" t="inlineStr">
        <is>
          <t>No Response</t>
        </is>
      </c>
      <c r="L3" s="14" t="n">
        <v>46273</v>
      </c>
      <c r="M3" s="16">
        <f>IF(OR(D3="",E3=""),"",12*(YEAR(E3)-YEAR(D3))+MONTH(E3)-MONTH(D3)-IF(DAY(E3)&lt;DAY(D3),1,0))</f>
        <v/>
      </c>
      <c r="N3" s="17">
        <f>IF(M3="","",IFERROR(IF(M3&lt;=VLOOKUP(M3,Setup!$A$4:$C$7,3,TRUE),VLOOKUP(M3,Setup!$A$4:$C$7,2,TRUE),"Outside configured ranges"),"Outside configured ranges"))</f>
        <v/>
      </c>
      <c r="O3" s="16">
        <f>IF(OR(B3="",B3&gt;Setup!$I$4),"",Setup!$I$4-B3)</f>
        <v/>
      </c>
      <c r="P3" s="16">
        <f>IF(G3="","",G3-Setup!$I$4)</f>
        <v/>
      </c>
      <c r="Q3" s="27">
        <f>IF(K3="","",IFERROR(VLOOKUP(K3,Setup!$E$4:$F$9,2,FALSE),""))</f>
        <v/>
      </c>
      <c r="R3" s="17">
        <f>IF(A3="","",IF(OR(B3="",C3="",D3="",E3="",F3="",G3="",H3="",I3="",K3=""),"Incomplete",IF(COUNTIF(Setup!$K$4:$K$8,I3)=0,"Invalid status",IF(COUNTIF(Setup!$L$4:$L$8,H3)=0,"Invalid schedule",IF(COUNTIF(Setup!$E$4:$E$9,K3)=0,"Invalid contact outcome",IF(I3&lt;&gt;"Active","Not active",IF(B3&gt;Setup!$I$4,"Future waitlist date",IF(D3&gt;E3,"Invalid age/date",IF(F3&gt;G3,"Invalid window",IF(OR(E3&lt;F3,E3&gt;G3),"Preferred date outside window",IF(G3&lt;Setup!$I$4,"Window expired",IF(OR(M3="",N3="Outside configured ranges"),"Outside age bands","Ready"))))))))))))</f>
        <v/>
      </c>
      <c r="S3" s="27">
        <f>IF(R3&lt;&gt;"Ready","",ROUND(O3*Setup!$I$5+MAX(0,Setup!$I$6-MAX(0,P3))*Setup!$I$7+Q3,1))</f>
        <v/>
      </c>
      <c r="T3" s="16">
        <f>IF(S3="","",1+COUNTIFS($R$2:$R$201,"Ready",$N$2:$N$201,N3,$S$2:$S$201,"&gt;"&amp;S3)+COUNTIFS($R$2:$R$201,"Ready",$N$2:$N$201,N3,$S$2:$S$201,"="&amp;S3,$B$2:$B$201,"&lt;"&amp;B3)+COUNTIFS($R$2:$R$201,"Ready",$N$2:$N$201,N3,$S$2:$S$201,"="&amp;S3,$B$2:$B$201,"="&amp;B3,$A$2:$A$201,"&lt;"&amp;A3))</f>
        <v/>
      </c>
      <c r="U3" s="17">
        <f>IF(A3="","",IF(R3&lt;&gt;"Ready",R3,IF(AND(K3="Not Contacted",J3&lt;&gt;""),"Clear last contact date or update outcome",IF(AND(K3&lt;&gt;"Not Contacted",J3=""),"Add last contact date",IF(AND(J3&lt;&gt;"",J3&gt;Setup!$I$4),"Last contact is after review date",IF(K3="Declined","Align status with declined outcome",IF(AND(L3&lt;&gt;"",L3&gt;G3),"Follow-up is after latest start",IF(AND(L3&lt;&gt;"",L3&lt;Setup!$I$4),"Follow-up overdue",IF(AND(L3&lt;&gt;"",L3&lt;=Setup!$I$4+Setup!$I$9),"Follow-up due soon",IF(AND(J3&lt;&gt;"",Setup!$I$4-J3&gt;Setup!$I$8),"Contact may be stale",""))))))))))</f>
        <v/>
      </c>
    </row>
    <row r="4" ht="22" customHeight="1">
      <c r="A4" s="13" t="inlineStr">
        <is>
          <t>WL-1003</t>
        </is>
      </c>
      <c r="B4" s="14" t="n">
        <v>46130</v>
      </c>
      <c r="C4" s="15" t="inlineStr">
        <is>
          <t>Clover Family</t>
        </is>
      </c>
      <c r="D4" s="14" t="n">
        <v>45066</v>
      </c>
      <c r="E4" s="14" t="n">
        <v>46296</v>
      </c>
      <c r="F4" s="14" t="n">
        <v>46290</v>
      </c>
      <c r="G4" s="14" t="n">
        <v>46341</v>
      </c>
      <c r="H4" s="15" t="inlineStr">
        <is>
          <t>Flexible</t>
        </is>
      </c>
      <c r="I4" s="13" t="inlineStr">
        <is>
          <t>Active</t>
        </is>
      </c>
      <c r="J4" s="14" t="n"/>
      <c r="K4" s="15" t="inlineStr">
        <is>
          <t>Not Contacted</t>
        </is>
      </c>
      <c r="L4" s="14" t="n">
        <v>46277</v>
      </c>
      <c r="M4" s="16">
        <f>IF(OR(D4="",E4=""),"",12*(YEAR(E4)-YEAR(D4))+MONTH(E4)-MONTH(D4)-IF(DAY(E4)&lt;DAY(D4),1,0))</f>
        <v/>
      </c>
      <c r="N4" s="17">
        <f>IF(M4="","",IFERROR(IF(M4&lt;=VLOOKUP(M4,Setup!$A$4:$C$7,3,TRUE),VLOOKUP(M4,Setup!$A$4:$C$7,2,TRUE),"Outside configured ranges"),"Outside configured ranges"))</f>
        <v/>
      </c>
      <c r="O4" s="16">
        <f>IF(OR(B4="",B4&gt;Setup!$I$4),"",Setup!$I$4-B4)</f>
        <v/>
      </c>
      <c r="P4" s="16">
        <f>IF(G4="","",G4-Setup!$I$4)</f>
        <v/>
      </c>
      <c r="Q4" s="27">
        <f>IF(K4="","",IFERROR(VLOOKUP(K4,Setup!$E$4:$F$9,2,FALSE),""))</f>
        <v/>
      </c>
      <c r="R4" s="17">
        <f>IF(A4="","",IF(OR(B4="",C4="",D4="",E4="",F4="",G4="",H4="",I4="",K4=""),"Incomplete",IF(COUNTIF(Setup!$K$4:$K$8,I4)=0,"Invalid status",IF(COUNTIF(Setup!$L$4:$L$8,H4)=0,"Invalid schedule",IF(COUNTIF(Setup!$E$4:$E$9,K4)=0,"Invalid contact outcome",IF(I4&lt;&gt;"Active","Not active",IF(B4&gt;Setup!$I$4,"Future waitlist date",IF(D4&gt;E4,"Invalid age/date",IF(F4&gt;G4,"Invalid window",IF(OR(E4&lt;F4,E4&gt;G4),"Preferred date outside window",IF(G4&lt;Setup!$I$4,"Window expired",IF(OR(M4="",N4="Outside configured ranges"),"Outside age bands","Ready"))))))))))))</f>
        <v/>
      </c>
      <c r="S4" s="27">
        <f>IF(R4&lt;&gt;"Ready","",ROUND(O4*Setup!$I$5+MAX(0,Setup!$I$6-MAX(0,P4))*Setup!$I$7+Q4,1))</f>
        <v/>
      </c>
      <c r="T4" s="16">
        <f>IF(S4="","",1+COUNTIFS($R$2:$R$201,"Ready",$N$2:$N$201,N4,$S$2:$S$201,"&gt;"&amp;S4)+COUNTIFS($R$2:$R$201,"Ready",$N$2:$N$201,N4,$S$2:$S$201,"="&amp;S4,$B$2:$B$201,"&lt;"&amp;B4)+COUNTIFS($R$2:$R$201,"Ready",$N$2:$N$201,N4,$S$2:$S$201,"="&amp;S4,$B$2:$B$201,"="&amp;B4,$A$2:$A$201,"&lt;"&amp;A4))</f>
        <v/>
      </c>
      <c r="U4" s="17">
        <f>IF(A4="","",IF(R4&lt;&gt;"Ready",R4,IF(AND(K4="Not Contacted",J4&lt;&gt;""),"Clear last contact date or update outcome",IF(AND(K4&lt;&gt;"Not Contacted",J4=""),"Add last contact date",IF(AND(J4&lt;&gt;"",J4&gt;Setup!$I$4),"Last contact is after review date",IF(K4="Declined","Align status with declined outcome",IF(AND(L4&lt;&gt;"",L4&gt;G4),"Follow-up is after latest start",IF(AND(L4&lt;&gt;"",L4&lt;Setup!$I$4),"Follow-up overdue",IF(AND(L4&lt;&gt;"",L4&lt;=Setup!$I$4+Setup!$I$9),"Follow-up due soon",IF(AND(J4&lt;&gt;"",Setup!$I$4-J4&gt;Setup!$I$8),"Contact may be stale",""))))))))))</f>
        <v/>
      </c>
    </row>
    <row r="5" ht="22" customHeight="1">
      <c r="A5" s="13" t="inlineStr">
        <is>
          <t>WL-1004</t>
        </is>
      </c>
      <c r="B5" s="14" t="n">
        <v>46144</v>
      </c>
      <c r="C5" s="15" t="inlineStr">
        <is>
          <t>Dandelion Family</t>
        </is>
      </c>
      <c r="D5" s="14" t="n">
        <v>44743</v>
      </c>
      <c r="E5" s="14" t="n">
        <v>46285</v>
      </c>
      <c r="F5" s="14" t="n">
        <v>46275</v>
      </c>
      <c r="G5" s="14" t="n">
        <v>46290</v>
      </c>
      <c r="H5" s="15" t="inlineStr">
        <is>
          <t>Full Week</t>
        </is>
      </c>
      <c r="I5" s="13" t="inlineStr">
        <is>
          <t>Active</t>
        </is>
      </c>
      <c r="J5" s="14" t="n">
        <v>46266</v>
      </c>
      <c r="K5" s="15" t="inlineStr">
        <is>
          <t>Follow-Up Requested</t>
        </is>
      </c>
      <c r="L5" s="14" t="n">
        <v>46275</v>
      </c>
      <c r="M5" s="16">
        <f>IF(OR(D5="",E5=""),"",12*(YEAR(E5)-YEAR(D5))+MONTH(E5)-MONTH(D5)-IF(DAY(E5)&lt;DAY(D5),1,0))</f>
        <v/>
      </c>
      <c r="N5" s="17">
        <f>IF(M5="","",IFERROR(IF(M5&lt;=VLOOKUP(M5,Setup!$A$4:$C$7,3,TRUE),VLOOKUP(M5,Setup!$A$4:$C$7,2,TRUE),"Outside configured ranges"),"Outside configured ranges"))</f>
        <v/>
      </c>
      <c r="O5" s="16">
        <f>IF(OR(B5="",B5&gt;Setup!$I$4),"",Setup!$I$4-B5)</f>
        <v/>
      </c>
      <c r="P5" s="16">
        <f>IF(G5="","",G5-Setup!$I$4)</f>
        <v/>
      </c>
      <c r="Q5" s="27">
        <f>IF(K5="","",IFERROR(VLOOKUP(K5,Setup!$E$4:$F$9,2,FALSE),""))</f>
        <v/>
      </c>
      <c r="R5" s="17">
        <f>IF(A5="","",IF(OR(B5="",C5="",D5="",E5="",F5="",G5="",H5="",I5="",K5=""),"Incomplete",IF(COUNTIF(Setup!$K$4:$K$8,I5)=0,"Invalid status",IF(COUNTIF(Setup!$L$4:$L$8,H5)=0,"Invalid schedule",IF(COUNTIF(Setup!$E$4:$E$9,K5)=0,"Invalid contact outcome",IF(I5&lt;&gt;"Active","Not active",IF(B5&gt;Setup!$I$4,"Future waitlist date",IF(D5&gt;E5,"Invalid age/date",IF(F5&gt;G5,"Invalid window",IF(OR(E5&lt;F5,E5&gt;G5),"Preferred date outside window",IF(G5&lt;Setup!$I$4,"Window expired",IF(OR(M5="",N5="Outside configured ranges"),"Outside age bands","Ready"))))))))))))</f>
        <v/>
      </c>
      <c r="S5" s="27">
        <f>IF(R5&lt;&gt;"Ready","",ROUND(O5*Setup!$I$5+MAX(0,Setup!$I$6-MAX(0,P5))*Setup!$I$7+Q5,1))</f>
        <v/>
      </c>
      <c r="T5" s="16">
        <f>IF(S5="","",1+COUNTIFS($R$2:$R$201,"Ready",$N$2:$N$201,N5,$S$2:$S$201,"&gt;"&amp;S5)+COUNTIFS($R$2:$R$201,"Ready",$N$2:$N$201,N5,$S$2:$S$201,"="&amp;S5,$B$2:$B$201,"&lt;"&amp;B5)+COUNTIFS($R$2:$R$201,"Ready",$N$2:$N$201,N5,$S$2:$S$201,"="&amp;S5,$B$2:$B$201,"="&amp;B5,$A$2:$A$201,"&lt;"&amp;A5))</f>
        <v/>
      </c>
      <c r="U5" s="17">
        <f>IF(A5="","",IF(R5&lt;&gt;"Ready",R5,IF(AND(K5="Not Contacted",J5&lt;&gt;""),"Clear last contact date or update outcome",IF(AND(K5&lt;&gt;"Not Contacted",J5=""),"Add last contact date",IF(AND(J5&lt;&gt;"",J5&gt;Setup!$I$4),"Last contact is after review date",IF(K5="Declined","Align status with declined outcome",IF(AND(L5&lt;&gt;"",L5&gt;G5),"Follow-up is after latest start",IF(AND(L5&lt;&gt;"",L5&lt;Setup!$I$4),"Follow-up overdue",IF(AND(L5&lt;&gt;"",L5&lt;=Setup!$I$4+Setup!$I$9),"Follow-up due soon",IF(AND(J5&lt;&gt;"",Setup!$I$4-J5&gt;Setup!$I$8),"Contact may be stale",""))))))))))</f>
        <v/>
      </c>
    </row>
    <row r="6" ht="22" customHeight="1">
      <c r="A6" s="13" t="inlineStr">
        <is>
          <t>WL-1005</t>
        </is>
      </c>
      <c r="B6" s="14" t="n">
        <v>46187</v>
      </c>
      <c r="C6" s="15" t="inlineStr">
        <is>
          <t>Elm Family</t>
        </is>
      </c>
      <c r="D6" s="14" t="n">
        <v>45991</v>
      </c>
      <c r="E6" s="14" t="n">
        <v>46310</v>
      </c>
      <c r="F6" s="14" t="n">
        <v>46296</v>
      </c>
      <c r="G6" s="14" t="n">
        <v>46357</v>
      </c>
      <c r="H6" s="15" t="inlineStr">
        <is>
          <t>Tue/Thu</t>
        </is>
      </c>
      <c r="I6" s="13" t="inlineStr">
        <is>
          <t>Paused</t>
        </is>
      </c>
      <c r="J6" s="14" t="n">
        <v>46267</v>
      </c>
      <c r="K6" s="15" t="inlineStr">
        <is>
          <t>Reached - Interested</t>
        </is>
      </c>
      <c r="L6" s="14" t="n"/>
      <c r="M6" s="16">
        <f>IF(OR(D6="",E6=""),"",12*(YEAR(E6)-YEAR(D6))+MONTH(E6)-MONTH(D6)-IF(DAY(E6)&lt;DAY(D6),1,0))</f>
        <v/>
      </c>
      <c r="N6" s="17">
        <f>IF(M6="","",IFERROR(IF(M6&lt;=VLOOKUP(M6,Setup!$A$4:$C$7,3,TRUE),VLOOKUP(M6,Setup!$A$4:$C$7,2,TRUE),"Outside configured ranges"),"Outside configured ranges"))</f>
        <v/>
      </c>
      <c r="O6" s="16">
        <f>IF(OR(B6="",B6&gt;Setup!$I$4),"",Setup!$I$4-B6)</f>
        <v/>
      </c>
      <c r="P6" s="16">
        <f>IF(G6="","",G6-Setup!$I$4)</f>
        <v/>
      </c>
      <c r="Q6" s="27">
        <f>IF(K6="","",IFERROR(VLOOKUP(K6,Setup!$E$4:$F$9,2,FALSE),""))</f>
        <v/>
      </c>
      <c r="R6" s="17">
        <f>IF(A6="","",IF(OR(B6="",C6="",D6="",E6="",F6="",G6="",H6="",I6="",K6=""),"Incomplete",IF(COUNTIF(Setup!$K$4:$K$8,I6)=0,"Invalid status",IF(COUNTIF(Setup!$L$4:$L$8,H6)=0,"Invalid schedule",IF(COUNTIF(Setup!$E$4:$E$9,K6)=0,"Invalid contact outcome",IF(I6&lt;&gt;"Active","Not active",IF(B6&gt;Setup!$I$4,"Future waitlist date",IF(D6&gt;E6,"Invalid age/date",IF(F6&gt;G6,"Invalid window",IF(OR(E6&lt;F6,E6&gt;G6),"Preferred date outside window",IF(G6&lt;Setup!$I$4,"Window expired",IF(OR(M6="",N6="Outside configured ranges"),"Outside age bands","Ready"))))))))))))</f>
        <v/>
      </c>
      <c r="S6" s="27">
        <f>IF(R6&lt;&gt;"Ready","",ROUND(O6*Setup!$I$5+MAX(0,Setup!$I$6-MAX(0,P6))*Setup!$I$7+Q6,1))</f>
        <v/>
      </c>
      <c r="T6" s="16">
        <f>IF(S6="","",1+COUNTIFS($R$2:$R$201,"Ready",$N$2:$N$201,N6,$S$2:$S$201,"&gt;"&amp;S6)+COUNTIFS($R$2:$R$201,"Ready",$N$2:$N$201,N6,$S$2:$S$201,"="&amp;S6,$B$2:$B$201,"&lt;"&amp;B6)+COUNTIFS($R$2:$R$201,"Ready",$N$2:$N$201,N6,$S$2:$S$201,"="&amp;S6,$B$2:$B$201,"="&amp;B6,$A$2:$A$201,"&lt;"&amp;A6))</f>
        <v/>
      </c>
      <c r="U6" s="17">
        <f>IF(A6="","",IF(R6&lt;&gt;"Ready",R6,IF(AND(K6="Not Contacted",J6&lt;&gt;""),"Clear last contact date or update outcome",IF(AND(K6&lt;&gt;"Not Contacted",J6=""),"Add last contact date",IF(AND(J6&lt;&gt;"",J6&gt;Setup!$I$4),"Last contact is after review date",IF(K6="Declined","Align status with declined outcome",IF(AND(L6&lt;&gt;"",L6&gt;G6),"Follow-up is after latest start",IF(AND(L6&lt;&gt;"",L6&lt;Setup!$I$4),"Follow-up overdue",IF(AND(L6&lt;&gt;"",L6&lt;=Setup!$I$4+Setup!$I$9),"Follow-up due soon",IF(AND(J6&lt;&gt;"",Setup!$I$4-J6&gt;Setup!$I$8),"Contact may be stale",""))))))))))</f>
        <v/>
      </c>
    </row>
    <row r="7" ht="22" customHeight="1">
      <c r="A7" s="13" t="inlineStr">
        <is>
          <t>WL-1006</t>
        </is>
      </c>
      <c r="B7" s="14" t="n">
        <v>46210</v>
      </c>
      <c r="C7" s="15" t="inlineStr">
        <is>
          <t>Fern Family</t>
        </is>
      </c>
      <c r="D7" s="14" t="n">
        <v>45509</v>
      </c>
      <c r="E7" s="14" t="n">
        <v>46300</v>
      </c>
      <c r="F7" s="14" t="n">
        <v>46285</v>
      </c>
      <c r="G7" s="14" t="n">
        <v>46305</v>
      </c>
      <c r="H7" s="15" t="inlineStr">
        <is>
          <t>Flexible</t>
        </is>
      </c>
      <c r="I7" s="13" t="inlineStr">
        <is>
          <t>Active</t>
        </is>
      </c>
      <c r="J7" s="14" t="n">
        <v>46249</v>
      </c>
      <c r="K7" s="15" t="inlineStr">
        <is>
          <t>Voicemail Left</t>
        </is>
      </c>
      <c r="L7" s="14" t="n"/>
      <c r="M7" s="16">
        <f>IF(OR(D7="",E7=""),"",12*(YEAR(E7)-YEAR(D7))+MONTH(E7)-MONTH(D7)-IF(DAY(E7)&lt;DAY(D7),1,0))</f>
        <v/>
      </c>
      <c r="N7" s="17">
        <f>IF(M7="","",IFERROR(IF(M7&lt;=VLOOKUP(M7,Setup!$A$4:$C$7,3,TRUE),VLOOKUP(M7,Setup!$A$4:$C$7,2,TRUE),"Outside configured ranges"),"Outside configured ranges"))</f>
        <v/>
      </c>
      <c r="O7" s="16">
        <f>IF(OR(B7="",B7&gt;Setup!$I$4),"",Setup!$I$4-B7)</f>
        <v/>
      </c>
      <c r="P7" s="16">
        <f>IF(G7="","",G7-Setup!$I$4)</f>
        <v/>
      </c>
      <c r="Q7" s="27">
        <f>IF(K7="","",IFERROR(VLOOKUP(K7,Setup!$E$4:$F$9,2,FALSE),""))</f>
        <v/>
      </c>
      <c r="R7" s="17">
        <f>IF(A7="","",IF(OR(B7="",C7="",D7="",E7="",F7="",G7="",H7="",I7="",K7=""),"Incomplete",IF(COUNTIF(Setup!$K$4:$K$8,I7)=0,"Invalid status",IF(COUNTIF(Setup!$L$4:$L$8,H7)=0,"Invalid schedule",IF(COUNTIF(Setup!$E$4:$E$9,K7)=0,"Invalid contact outcome",IF(I7&lt;&gt;"Active","Not active",IF(B7&gt;Setup!$I$4,"Future waitlist date",IF(D7&gt;E7,"Invalid age/date",IF(F7&gt;G7,"Invalid window",IF(OR(E7&lt;F7,E7&gt;G7),"Preferred date outside window",IF(G7&lt;Setup!$I$4,"Window expired",IF(OR(M7="",N7="Outside configured ranges"),"Outside age bands","Ready"))))))))))))</f>
        <v/>
      </c>
      <c r="S7" s="27">
        <f>IF(R7&lt;&gt;"Ready","",ROUND(O7*Setup!$I$5+MAX(0,Setup!$I$6-MAX(0,P7))*Setup!$I$7+Q7,1))</f>
        <v/>
      </c>
      <c r="T7" s="16">
        <f>IF(S7="","",1+COUNTIFS($R$2:$R$201,"Ready",$N$2:$N$201,N7,$S$2:$S$201,"&gt;"&amp;S7)+COUNTIFS($R$2:$R$201,"Ready",$N$2:$N$201,N7,$S$2:$S$201,"="&amp;S7,$B$2:$B$201,"&lt;"&amp;B7)+COUNTIFS($R$2:$R$201,"Ready",$N$2:$N$201,N7,$S$2:$S$201,"="&amp;S7,$B$2:$B$201,"="&amp;B7,$A$2:$A$201,"&lt;"&amp;A7))</f>
        <v/>
      </c>
      <c r="U7" s="17">
        <f>IF(A7="","",IF(R7&lt;&gt;"Ready",R7,IF(AND(K7="Not Contacted",J7&lt;&gt;""),"Clear last contact date or update outcome",IF(AND(K7&lt;&gt;"Not Contacted",J7=""),"Add last contact date",IF(AND(J7&lt;&gt;"",J7&gt;Setup!$I$4),"Last contact is after review date",IF(K7="Declined","Align status with declined outcome",IF(AND(L7&lt;&gt;"",L7&gt;G7),"Follow-up is after latest start",IF(AND(L7&lt;&gt;"",L7&lt;Setup!$I$4),"Follow-up overdue",IF(AND(L7&lt;&gt;"",L7&lt;=Setup!$I$4+Setup!$I$9),"Follow-up due soon",IF(AND(J7&lt;&gt;"",Setup!$I$4-J7&gt;Setup!$I$8),"Contact may be stale",""))))))))))</f>
        <v/>
      </c>
    </row>
    <row r="8" ht="22" customHeight="1">
      <c r="A8" s="13" t="inlineStr">
        <is>
          <t>WL-1007</t>
        </is>
      </c>
      <c r="B8" s="14" t="n">
        <v>46224</v>
      </c>
      <c r="C8" s="15" t="inlineStr">
        <is>
          <t>Grove Family</t>
        </is>
      </c>
      <c r="D8" s="14" t="n">
        <v>45170</v>
      </c>
      <c r="E8" s="14" t="n">
        <v>46269</v>
      </c>
      <c r="F8" s="14" t="n">
        <v>46266</v>
      </c>
      <c r="G8" s="14" t="n">
        <v>46270</v>
      </c>
      <c r="H8" s="15" t="inlineStr">
        <is>
          <t>Full Week</t>
        </is>
      </c>
      <c r="I8" s="13" t="inlineStr">
        <is>
          <t>Active</t>
        </is>
      </c>
      <c r="J8" s="14" t="n">
        <v>46266</v>
      </c>
      <c r="K8" s="15" t="inlineStr">
        <is>
          <t>Reached - Interested</t>
        </is>
      </c>
      <c r="L8" s="14" t="n"/>
      <c r="M8" s="16">
        <f>IF(OR(D8="",E8=""),"",12*(YEAR(E8)-YEAR(D8))+MONTH(E8)-MONTH(D8)-IF(DAY(E8)&lt;DAY(D8),1,0))</f>
        <v/>
      </c>
      <c r="N8" s="17">
        <f>IF(M8="","",IFERROR(IF(M8&lt;=VLOOKUP(M8,Setup!$A$4:$C$7,3,TRUE),VLOOKUP(M8,Setup!$A$4:$C$7,2,TRUE),"Outside configured ranges"),"Outside configured ranges"))</f>
        <v/>
      </c>
      <c r="O8" s="16">
        <f>IF(OR(B8="",B8&gt;Setup!$I$4),"",Setup!$I$4-B8)</f>
        <v/>
      </c>
      <c r="P8" s="16">
        <f>IF(G8="","",G8-Setup!$I$4)</f>
        <v/>
      </c>
      <c r="Q8" s="27">
        <f>IF(K8="","",IFERROR(VLOOKUP(K8,Setup!$E$4:$F$9,2,FALSE),""))</f>
        <v/>
      </c>
      <c r="R8" s="17">
        <f>IF(A8="","",IF(OR(B8="",C8="",D8="",E8="",F8="",G8="",H8="",I8="",K8=""),"Incomplete",IF(COUNTIF(Setup!$K$4:$K$8,I8)=0,"Invalid status",IF(COUNTIF(Setup!$L$4:$L$8,H8)=0,"Invalid schedule",IF(COUNTIF(Setup!$E$4:$E$9,K8)=0,"Invalid contact outcome",IF(I8&lt;&gt;"Active","Not active",IF(B8&gt;Setup!$I$4,"Future waitlist date",IF(D8&gt;E8,"Invalid age/date",IF(F8&gt;G8,"Invalid window",IF(OR(E8&lt;F8,E8&gt;G8),"Preferred date outside window",IF(G8&lt;Setup!$I$4,"Window expired",IF(OR(M8="",N8="Outside configured ranges"),"Outside age bands","Ready"))))))))))))</f>
        <v/>
      </c>
      <c r="S8" s="27">
        <f>IF(R8&lt;&gt;"Ready","",ROUND(O8*Setup!$I$5+MAX(0,Setup!$I$6-MAX(0,P8))*Setup!$I$7+Q8,1))</f>
        <v/>
      </c>
      <c r="T8" s="16">
        <f>IF(S8="","",1+COUNTIFS($R$2:$R$201,"Ready",$N$2:$N$201,N8,$S$2:$S$201,"&gt;"&amp;S8)+COUNTIFS($R$2:$R$201,"Ready",$N$2:$N$201,N8,$S$2:$S$201,"="&amp;S8,$B$2:$B$201,"&lt;"&amp;B8)+COUNTIFS($R$2:$R$201,"Ready",$N$2:$N$201,N8,$S$2:$S$201,"="&amp;S8,$B$2:$B$201,"="&amp;B8,$A$2:$A$201,"&lt;"&amp;A8))</f>
        <v/>
      </c>
      <c r="U8" s="17">
        <f>IF(A8="","",IF(R8&lt;&gt;"Ready",R8,IF(AND(K8="Not Contacted",J8&lt;&gt;""),"Clear last contact date or update outcome",IF(AND(K8&lt;&gt;"Not Contacted",J8=""),"Add last contact date",IF(AND(J8&lt;&gt;"",J8&gt;Setup!$I$4),"Last contact is after review date",IF(K8="Declined","Align status with declined outcome",IF(AND(L8&lt;&gt;"",L8&gt;G8),"Follow-up is after latest start",IF(AND(L8&lt;&gt;"",L8&lt;Setup!$I$4),"Follow-up overdue",IF(AND(L8&lt;&gt;"",L8&lt;=Setup!$I$4+Setup!$I$9),"Follow-up due soon",IF(AND(J8&lt;&gt;"",Setup!$I$4-J8&gt;Setup!$I$8),"Contact may be stale",""))))))))))</f>
        <v/>
      </c>
    </row>
    <row r="9" ht="22" customHeight="1">
      <c r="A9" s="13" t="inlineStr">
        <is>
          <t>WL-1008</t>
        </is>
      </c>
      <c r="B9" s="14" t="n">
        <v>46235</v>
      </c>
      <c r="C9" s="15" t="inlineStr">
        <is>
          <t>Harbor Family</t>
        </is>
      </c>
      <c r="D9" s="14" t="n">
        <v>44652</v>
      </c>
      <c r="E9" s="14" t="n">
        <v>46296</v>
      </c>
      <c r="F9" s="14" t="n">
        <v>46310</v>
      </c>
      <c r="G9" s="14" t="n">
        <v>46296</v>
      </c>
      <c r="H9" s="15" t="inlineStr">
        <is>
          <t>Full Week</t>
        </is>
      </c>
      <c r="I9" s="13" t="inlineStr">
        <is>
          <t>Active</t>
        </is>
      </c>
      <c r="J9" s="14" t="n"/>
      <c r="K9" s="15" t="inlineStr">
        <is>
          <t>Not Contacted</t>
        </is>
      </c>
      <c r="L9" s="14" t="n"/>
      <c r="M9" s="16">
        <f>IF(OR(D9="",E9=""),"",12*(YEAR(E9)-YEAR(D9))+MONTH(E9)-MONTH(D9)-IF(DAY(E9)&lt;DAY(D9),1,0))</f>
        <v/>
      </c>
      <c r="N9" s="17">
        <f>IF(M9="","",IFERROR(IF(M9&lt;=VLOOKUP(M9,Setup!$A$4:$C$7,3,TRUE),VLOOKUP(M9,Setup!$A$4:$C$7,2,TRUE),"Outside configured ranges"),"Outside configured ranges"))</f>
        <v/>
      </c>
      <c r="O9" s="16">
        <f>IF(OR(B9="",B9&gt;Setup!$I$4),"",Setup!$I$4-B9)</f>
        <v/>
      </c>
      <c r="P9" s="16">
        <f>IF(G9="","",G9-Setup!$I$4)</f>
        <v/>
      </c>
      <c r="Q9" s="27">
        <f>IF(K9="","",IFERROR(VLOOKUP(K9,Setup!$E$4:$F$9,2,FALSE),""))</f>
        <v/>
      </c>
      <c r="R9" s="17">
        <f>IF(A9="","",IF(OR(B9="",C9="",D9="",E9="",F9="",G9="",H9="",I9="",K9=""),"Incomplete",IF(COUNTIF(Setup!$K$4:$K$8,I9)=0,"Invalid status",IF(COUNTIF(Setup!$L$4:$L$8,H9)=0,"Invalid schedule",IF(COUNTIF(Setup!$E$4:$E$9,K9)=0,"Invalid contact outcome",IF(I9&lt;&gt;"Active","Not active",IF(B9&gt;Setup!$I$4,"Future waitlist date",IF(D9&gt;E9,"Invalid age/date",IF(F9&gt;G9,"Invalid window",IF(OR(E9&lt;F9,E9&gt;G9),"Preferred date outside window",IF(G9&lt;Setup!$I$4,"Window expired",IF(OR(M9="",N9="Outside configured ranges"),"Outside age bands","Ready"))))))))))))</f>
        <v/>
      </c>
      <c r="S9" s="27">
        <f>IF(R9&lt;&gt;"Ready","",ROUND(O9*Setup!$I$5+MAX(0,Setup!$I$6-MAX(0,P9))*Setup!$I$7+Q9,1))</f>
        <v/>
      </c>
      <c r="T9" s="16">
        <f>IF(S9="","",1+COUNTIFS($R$2:$R$201,"Ready",$N$2:$N$201,N9,$S$2:$S$201,"&gt;"&amp;S9)+COUNTIFS($R$2:$R$201,"Ready",$N$2:$N$201,N9,$S$2:$S$201,"="&amp;S9,$B$2:$B$201,"&lt;"&amp;B9)+COUNTIFS($R$2:$R$201,"Ready",$N$2:$N$201,N9,$S$2:$S$201,"="&amp;S9,$B$2:$B$201,"="&amp;B9,$A$2:$A$201,"&lt;"&amp;A9))</f>
        <v/>
      </c>
      <c r="U9" s="17">
        <f>IF(A9="","",IF(R9&lt;&gt;"Ready",R9,IF(AND(K9="Not Contacted",J9&lt;&gt;""),"Clear last contact date or update outcome",IF(AND(K9&lt;&gt;"Not Contacted",J9=""),"Add last contact date",IF(AND(J9&lt;&gt;"",J9&gt;Setup!$I$4),"Last contact is after review date",IF(K9="Declined","Align status with declined outcome",IF(AND(L9&lt;&gt;"",L9&gt;G9),"Follow-up is after latest start",IF(AND(L9&lt;&gt;"",L9&lt;Setup!$I$4),"Follow-up overdue",IF(AND(L9&lt;&gt;"",L9&lt;=Setup!$I$4+Setup!$I$9),"Follow-up due soon",IF(AND(J9&lt;&gt;"",Setup!$I$4-J9&gt;Setup!$I$8),"Contact may be stale",""))))))))))</f>
        <v/>
      </c>
    </row>
    <row r="10" ht="22" customHeight="1">
      <c r="A10" s="13" t="inlineStr">
        <is>
          <t>WL-1009</t>
        </is>
      </c>
      <c r="B10" s="14" t="n">
        <v>46256</v>
      </c>
      <c r="C10" s="15" t="inlineStr">
        <is>
          <t>Juniper Family</t>
        </is>
      </c>
      <c r="D10" s="14" t="n">
        <v>45636</v>
      </c>
      <c r="E10" s="14" t="n">
        <v>46305</v>
      </c>
      <c r="F10" s="14" t="n">
        <v>46296</v>
      </c>
      <c r="G10" s="14" t="n">
        <v>46326</v>
      </c>
      <c r="H10" s="15" t="inlineStr">
        <is>
          <t>Tue/Thu</t>
        </is>
      </c>
      <c r="I10" s="13" t="inlineStr">
        <is>
          <t>Active</t>
        </is>
      </c>
      <c r="J10" s="14" t="n"/>
      <c r="K10" s="15" t="inlineStr">
        <is>
          <t>Follow-Up Requested</t>
        </is>
      </c>
      <c r="L10" s="14" t="n">
        <v>46279</v>
      </c>
      <c r="M10" s="16">
        <f>IF(OR(D10="",E10=""),"",12*(YEAR(E10)-YEAR(D10))+MONTH(E10)-MONTH(D10)-IF(DAY(E10)&lt;DAY(D10),1,0))</f>
        <v/>
      </c>
      <c r="N10" s="17">
        <f>IF(M10="","",IFERROR(IF(M10&lt;=VLOOKUP(M10,Setup!$A$4:$C$7,3,TRUE),VLOOKUP(M10,Setup!$A$4:$C$7,2,TRUE),"Outside configured ranges"),"Outside configured ranges"))</f>
        <v/>
      </c>
      <c r="O10" s="16">
        <f>IF(OR(B10="",B10&gt;Setup!$I$4),"",Setup!$I$4-B10)</f>
        <v/>
      </c>
      <c r="P10" s="16">
        <f>IF(G10="","",G10-Setup!$I$4)</f>
        <v/>
      </c>
      <c r="Q10" s="27">
        <f>IF(K10="","",IFERROR(VLOOKUP(K10,Setup!$E$4:$F$9,2,FALSE),""))</f>
        <v/>
      </c>
      <c r="R10" s="17">
        <f>IF(A10="","",IF(OR(B10="",C10="",D10="",E10="",F10="",G10="",H10="",I10="",K10=""),"Incomplete",IF(COUNTIF(Setup!$K$4:$K$8,I10)=0,"Invalid status",IF(COUNTIF(Setup!$L$4:$L$8,H10)=0,"Invalid schedule",IF(COUNTIF(Setup!$E$4:$E$9,K10)=0,"Invalid contact outcome",IF(I10&lt;&gt;"Active","Not active",IF(B10&gt;Setup!$I$4,"Future waitlist date",IF(D10&gt;E10,"Invalid age/date",IF(F10&gt;G10,"Invalid window",IF(OR(E10&lt;F10,E10&gt;G10),"Preferred date outside window",IF(G10&lt;Setup!$I$4,"Window expired",IF(OR(M10="",N10="Outside configured ranges"),"Outside age bands","Ready"))))))))))))</f>
        <v/>
      </c>
      <c r="S10" s="27">
        <f>IF(R10&lt;&gt;"Ready","",ROUND(O10*Setup!$I$5+MAX(0,Setup!$I$6-MAX(0,P10))*Setup!$I$7+Q10,1))</f>
        <v/>
      </c>
      <c r="T10" s="16">
        <f>IF(S10="","",1+COUNTIFS($R$2:$R$201,"Ready",$N$2:$N$201,N10,$S$2:$S$201,"&gt;"&amp;S10)+COUNTIFS($R$2:$R$201,"Ready",$N$2:$N$201,N10,$S$2:$S$201,"="&amp;S10,$B$2:$B$201,"&lt;"&amp;B10)+COUNTIFS($R$2:$R$201,"Ready",$N$2:$N$201,N10,$S$2:$S$201,"="&amp;S10,$B$2:$B$201,"="&amp;B10,$A$2:$A$201,"&lt;"&amp;A10))</f>
        <v/>
      </c>
      <c r="U10" s="17">
        <f>IF(A10="","",IF(R10&lt;&gt;"Ready",R10,IF(AND(K10="Not Contacted",J10&lt;&gt;""),"Clear last contact date or update outcome",IF(AND(K10&lt;&gt;"Not Contacted",J10=""),"Add last contact date",IF(AND(J10&lt;&gt;"",J10&gt;Setup!$I$4),"Last contact is after review date",IF(K10="Declined","Align status with declined outcome",IF(AND(L10&lt;&gt;"",L10&gt;G10),"Follow-up is after latest start",IF(AND(L10&lt;&gt;"",L10&lt;Setup!$I$4),"Follow-up overdue",IF(AND(L10&lt;&gt;"",L10&lt;=Setup!$I$4+Setup!$I$9),"Follow-up due soon",IF(AND(J10&lt;&gt;"",Setup!$I$4-J10&gt;Setup!$I$8),"Contact may be stale",""))))))))))</f>
        <v/>
      </c>
    </row>
    <row r="11" ht="22" customHeight="1">
      <c r="A11" s="13" t="inlineStr">
        <is>
          <t>WL-1010</t>
        </is>
      </c>
      <c r="B11" s="14" t="n">
        <v>46266</v>
      </c>
      <c r="C11" s="15" t="inlineStr">
        <is>
          <t>Lark Family</t>
        </is>
      </c>
      <c r="D11" s="14" t="n"/>
      <c r="E11" s="14" t="n">
        <v>46327</v>
      </c>
      <c r="F11" s="14" t="n">
        <v>46310</v>
      </c>
      <c r="G11" s="14" t="n">
        <v>46341</v>
      </c>
      <c r="H11" s="15" t="inlineStr">
        <is>
          <t>Mon/Wed/Fri</t>
        </is>
      </c>
      <c r="I11" s="13" t="inlineStr">
        <is>
          <t>Active</t>
        </is>
      </c>
      <c r="J11" s="14" t="n"/>
      <c r="K11" s="15" t="inlineStr">
        <is>
          <t>Not Contacted</t>
        </is>
      </c>
      <c r="L11" s="14" t="n"/>
      <c r="M11" s="16">
        <f>IF(OR(D11="",E11=""),"",12*(YEAR(E11)-YEAR(D11))+MONTH(E11)-MONTH(D11)-IF(DAY(E11)&lt;DAY(D11),1,0))</f>
        <v/>
      </c>
      <c r="N11" s="17">
        <f>IF(M11="","",IFERROR(IF(M11&lt;=VLOOKUP(M11,Setup!$A$4:$C$7,3,TRUE),VLOOKUP(M11,Setup!$A$4:$C$7,2,TRUE),"Outside configured ranges"),"Outside configured ranges"))</f>
        <v/>
      </c>
      <c r="O11" s="16">
        <f>IF(OR(B11="",B11&gt;Setup!$I$4),"",Setup!$I$4-B11)</f>
        <v/>
      </c>
      <c r="P11" s="16">
        <f>IF(G11="","",G11-Setup!$I$4)</f>
        <v/>
      </c>
      <c r="Q11" s="27">
        <f>IF(K11="","",IFERROR(VLOOKUP(K11,Setup!$E$4:$F$9,2,FALSE),""))</f>
        <v/>
      </c>
      <c r="R11" s="17">
        <f>IF(A11="","",IF(OR(B11="",C11="",D11="",E11="",F11="",G11="",H11="",I11="",K11=""),"Incomplete",IF(COUNTIF(Setup!$K$4:$K$8,I11)=0,"Invalid status",IF(COUNTIF(Setup!$L$4:$L$8,H11)=0,"Invalid schedule",IF(COUNTIF(Setup!$E$4:$E$9,K11)=0,"Invalid contact outcome",IF(I11&lt;&gt;"Active","Not active",IF(B11&gt;Setup!$I$4,"Future waitlist date",IF(D11&gt;E11,"Invalid age/date",IF(F11&gt;G11,"Invalid window",IF(OR(E11&lt;F11,E11&gt;G11),"Preferred date outside window",IF(G11&lt;Setup!$I$4,"Window expired",IF(OR(M11="",N11="Outside configured ranges"),"Outside age bands","Ready"))))))))))))</f>
        <v/>
      </c>
      <c r="S11" s="27">
        <f>IF(R11&lt;&gt;"Ready","",ROUND(O11*Setup!$I$5+MAX(0,Setup!$I$6-MAX(0,P11))*Setup!$I$7+Q11,1))</f>
        <v/>
      </c>
      <c r="T11" s="16">
        <f>IF(S11="","",1+COUNTIFS($R$2:$R$201,"Ready",$N$2:$N$201,N11,$S$2:$S$201,"&gt;"&amp;S11)+COUNTIFS($R$2:$R$201,"Ready",$N$2:$N$201,N11,$S$2:$S$201,"="&amp;S11,$B$2:$B$201,"&lt;"&amp;B11)+COUNTIFS($R$2:$R$201,"Ready",$N$2:$N$201,N11,$S$2:$S$201,"="&amp;S11,$B$2:$B$201,"="&amp;B11,$A$2:$A$201,"&lt;"&amp;A11))</f>
        <v/>
      </c>
      <c r="U11" s="17">
        <f>IF(A11="","",IF(R11&lt;&gt;"Ready",R11,IF(AND(K11="Not Contacted",J11&lt;&gt;""),"Clear last contact date or update outcome",IF(AND(K11&lt;&gt;"Not Contacted",J11=""),"Add last contact date",IF(AND(J11&lt;&gt;"",J11&gt;Setup!$I$4),"Last contact is after review date",IF(K11="Declined","Align status with declined outcome",IF(AND(L11&lt;&gt;"",L11&gt;G11),"Follow-up is after latest start",IF(AND(L11&lt;&gt;"",L11&lt;Setup!$I$4),"Follow-up overdue",IF(AND(L11&lt;&gt;"",L11&lt;=Setup!$I$4+Setup!$I$9),"Follow-up due soon",IF(AND(J11&lt;&gt;"",Setup!$I$4-J11&gt;Setup!$I$8),"Contact may be stale",""))))))))))</f>
        <v/>
      </c>
    </row>
    <row r="12" ht="22" customHeight="1">
      <c r="A12" s="13" t="n"/>
      <c r="B12" s="14" t="n"/>
      <c r="C12" s="15" t="n"/>
      <c r="D12" s="14" t="n"/>
      <c r="E12" s="14" t="n"/>
      <c r="F12" s="14" t="n"/>
      <c r="G12" s="14" t="n"/>
      <c r="H12" s="15" t="n"/>
      <c r="I12" s="13" t="n"/>
      <c r="J12" s="14" t="n"/>
      <c r="K12" s="15" t="n"/>
      <c r="L12" s="14" t="n"/>
      <c r="M12" s="16">
        <f>IF(OR(D12="",E12=""),"",12*(YEAR(E12)-YEAR(D12))+MONTH(E12)-MONTH(D12)-IF(DAY(E12)&lt;DAY(D12),1,0))</f>
        <v/>
      </c>
      <c r="N12" s="17">
        <f>IF(M12="","",IFERROR(IF(M12&lt;=VLOOKUP(M12,Setup!$A$4:$C$7,3,TRUE),VLOOKUP(M12,Setup!$A$4:$C$7,2,TRUE),"Outside configured ranges"),"Outside configured ranges"))</f>
        <v/>
      </c>
      <c r="O12" s="16">
        <f>IF(OR(B12="",B12&gt;Setup!$I$4),"",Setup!$I$4-B12)</f>
        <v/>
      </c>
      <c r="P12" s="16">
        <f>IF(G12="","",G12-Setup!$I$4)</f>
        <v/>
      </c>
      <c r="Q12" s="27">
        <f>IF(K12="","",IFERROR(VLOOKUP(K12,Setup!$E$4:$F$9,2,FALSE),""))</f>
        <v/>
      </c>
      <c r="R12" s="17">
        <f>IF(A12="","",IF(OR(B12="",C12="",D12="",E12="",F12="",G12="",H12="",I12="",K12=""),"Incomplete",IF(COUNTIF(Setup!$K$4:$K$8,I12)=0,"Invalid status",IF(COUNTIF(Setup!$L$4:$L$8,H12)=0,"Invalid schedule",IF(COUNTIF(Setup!$E$4:$E$9,K12)=0,"Invalid contact outcome",IF(I12&lt;&gt;"Active","Not active",IF(B12&gt;Setup!$I$4,"Future waitlist date",IF(D12&gt;E12,"Invalid age/date",IF(F12&gt;G12,"Invalid window",IF(OR(E12&lt;F12,E12&gt;G12),"Preferred date outside window",IF(G12&lt;Setup!$I$4,"Window expired",IF(OR(M12="",N12="Outside configured ranges"),"Outside age bands","Ready"))))))))))))</f>
        <v/>
      </c>
      <c r="S12" s="27">
        <f>IF(R12&lt;&gt;"Ready","",ROUND(O12*Setup!$I$5+MAX(0,Setup!$I$6-MAX(0,P12))*Setup!$I$7+Q12,1))</f>
        <v/>
      </c>
      <c r="T12" s="16">
        <f>IF(S12="","",1+COUNTIFS($R$2:$R$201,"Ready",$N$2:$N$201,N12,$S$2:$S$201,"&gt;"&amp;S12)+COUNTIFS($R$2:$R$201,"Ready",$N$2:$N$201,N12,$S$2:$S$201,"="&amp;S12,$B$2:$B$201,"&lt;"&amp;B12)+COUNTIFS($R$2:$R$201,"Ready",$N$2:$N$201,N12,$S$2:$S$201,"="&amp;S12,$B$2:$B$201,"="&amp;B12,$A$2:$A$201,"&lt;"&amp;A12))</f>
        <v/>
      </c>
      <c r="U12" s="17">
        <f>IF(A12="","",IF(R12&lt;&gt;"Ready",R12,IF(AND(K12="Not Contacted",J12&lt;&gt;""),"Clear last contact date or update outcome",IF(AND(K12&lt;&gt;"Not Contacted",J12=""),"Add last contact date",IF(AND(J12&lt;&gt;"",J12&gt;Setup!$I$4),"Last contact is after review date",IF(K12="Declined","Align status with declined outcome",IF(AND(L12&lt;&gt;"",L12&gt;G12),"Follow-up is after latest start",IF(AND(L12&lt;&gt;"",L12&lt;Setup!$I$4),"Follow-up overdue",IF(AND(L12&lt;&gt;"",L12&lt;=Setup!$I$4+Setup!$I$9),"Follow-up due soon",IF(AND(J12&lt;&gt;"",Setup!$I$4-J12&gt;Setup!$I$8),"Contact may be stale",""))))))))))</f>
        <v/>
      </c>
    </row>
    <row r="13" ht="22" customHeight="1">
      <c r="A13" s="13" t="n"/>
      <c r="B13" s="14" t="n"/>
      <c r="C13" s="15" t="n"/>
      <c r="D13" s="14" t="n"/>
      <c r="E13" s="14" t="n"/>
      <c r="F13" s="14" t="n"/>
      <c r="G13" s="14" t="n"/>
      <c r="H13" s="15" t="n"/>
      <c r="I13" s="13" t="n"/>
      <c r="J13" s="14" t="n"/>
      <c r="K13" s="15" t="n"/>
      <c r="L13" s="14" t="n"/>
      <c r="M13" s="16">
        <f>IF(OR(D13="",E13=""),"",12*(YEAR(E13)-YEAR(D13))+MONTH(E13)-MONTH(D13)-IF(DAY(E13)&lt;DAY(D13),1,0))</f>
        <v/>
      </c>
      <c r="N13" s="17">
        <f>IF(M13="","",IFERROR(IF(M13&lt;=VLOOKUP(M13,Setup!$A$4:$C$7,3,TRUE),VLOOKUP(M13,Setup!$A$4:$C$7,2,TRUE),"Outside configured ranges"),"Outside configured ranges"))</f>
        <v/>
      </c>
      <c r="O13" s="16">
        <f>IF(OR(B13="",B13&gt;Setup!$I$4),"",Setup!$I$4-B13)</f>
        <v/>
      </c>
      <c r="P13" s="16">
        <f>IF(G13="","",G13-Setup!$I$4)</f>
        <v/>
      </c>
      <c r="Q13" s="27">
        <f>IF(K13="","",IFERROR(VLOOKUP(K13,Setup!$E$4:$F$9,2,FALSE),""))</f>
        <v/>
      </c>
      <c r="R13" s="17">
        <f>IF(A13="","",IF(OR(B13="",C13="",D13="",E13="",F13="",G13="",H13="",I13="",K13=""),"Incomplete",IF(COUNTIF(Setup!$K$4:$K$8,I13)=0,"Invalid status",IF(COUNTIF(Setup!$L$4:$L$8,H13)=0,"Invalid schedule",IF(COUNTIF(Setup!$E$4:$E$9,K13)=0,"Invalid contact outcome",IF(I13&lt;&gt;"Active","Not active",IF(B13&gt;Setup!$I$4,"Future waitlist date",IF(D13&gt;E13,"Invalid age/date",IF(F13&gt;G13,"Invalid window",IF(OR(E13&lt;F13,E13&gt;G13),"Preferred date outside window",IF(G13&lt;Setup!$I$4,"Window expired",IF(OR(M13="",N13="Outside configured ranges"),"Outside age bands","Ready"))))))))))))</f>
        <v/>
      </c>
      <c r="S13" s="27">
        <f>IF(R13&lt;&gt;"Ready","",ROUND(O13*Setup!$I$5+MAX(0,Setup!$I$6-MAX(0,P13))*Setup!$I$7+Q13,1))</f>
        <v/>
      </c>
      <c r="T13" s="16">
        <f>IF(S13="","",1+COUNTIFS($R$2:$R$201,"Ready",$N$2:$N$201,N13,$S$2:$S$201,"&gt;"&amp;S13)+COUNTIFS($R$2:$R$201,"Ready",$N$2:$N$201,N13,$S$2:$S$201,"="&amp;S13,$B$2:$B$201,"&lt;"&amp;B13)+COUNTIFS($R$2:$R$201,"Ready",$N$2:$N$201,N13,$S$2:$S$201,"="&amp;S13,$B$2:$B$201,"="&amp;B13,$A$2:$A$201,"&lt;"&amp;A13))</f>
        <v/>
      </c>
      <c r="U13" s="17">
        <f>IF(A13="","",IF(R13&lt;&gt;"Ready",R13,IF(AND(K13="Not Contacted",J13&lt;&gt;""),"Clear last contact date or update outcome",IF(AND(K13&lt;&gt;"Not Contacted",J13=""),"Add last contact date",IF(AND(J13&lt;&gt;"",J13&gt;Setup!$I$4),"Last contact is after review date",IF(K13="Declined","Align status with declined outcome",IF(AND(L13&lt;&gt;"",L13&gt;G13),"Follow-up is after latest start",IF(AND(L13&lt;&gt;"",L13&lt;Setup!$I$4),"Follow-up overdue",IF(AND(L13&lt;&gt;"",L13&lt;=Setup!$I$4+Setup!$I$9),"Follow-up due soon",IF(AND(J13&lt;&gt;"",Setup!$I$4-J13&gt;Setup!$I$8),"Contact may be stale",""))))))))))</f>
        <v/>
      </c>
    </row>
    <row r="14" ht="22" customHeight="1">
      <c r="A14" s="13" t="n"/>
      <c r="B14" s="14" t="n"/>
      <c r="C14" s="15" t="n"/>
      <c r="D14" s="14" t="n"/>
      <c r="E14" s="14" t="n"/>
      <c r="F14" s="14" t="n"/>
      <c r="G14" s="14" t="n"/>
      <c r="H14" s="15" t="n"/>
      <c r="I14" s="13" t="n"/>
      <c r="J14" s="14" t="n"/>
      <c r="K14" s="15" t="n"/>
      <c r="L14" s="14" t="n"/>
      <c r="M14" s="16">
        <f>IF(OR(D14="",E14=""),"",12*(YEAR(E14)-YEAR(D14))+MONTH(E14)-MONTH(D14)-IF(DAY(E14)&lt;DAY(D14),1,0))</f>
        <v/>
      </c>
      <c r="N14" s="17">
        <f>IF(M14="","",IFERROR(IF(M14&lt;=VLOOKUP(M14,Setup!$A$4:$C$7,3,TRUE),VLOOKUP(M14,Setup!$A$4:$C$7,2,TRUE),"Outside configured ranges"),"Outside configured ranges"))</f>
        <v/>
      </c>
      <c r="O14" s="16">
        <f>IF(OR(B14="",B14&gt;Setup!$I$4),"",Setup!$I$4-B14)</f>
        <v/>
      </c>
      <c r="P14" s="16">
        <f>IF(G14="","",G14-Setup!$I$4)</f>
        <v/>
      </c>
      <c r="Q14" s="27">
        <f>IF(K14="","",IFERROR(VLOOKUP(K14,Setup!$E$4:$F$9,2,FALSE),""))</f>
        <v/>
      </c>
      <c r="R14" s="17">
        <f>IF(A14="","",IF(OR(B14="",C14="",D14="",E14="",F14="",G14="",H14="",I14="",K14=""),"Incomplete",IF(COUNTIF(Setup!$K$4:$K$8,I14)=0,"Invalid status",IF(COUNTIF(Setup!$L$4:$L$8,H14)=0,"Invalid schedule",IF(COUNTIF(Setup!$E$4:$E$9,K14)=0,"Invalid contact outcome",IF(I14&lt;&gt;"Active","Not active",IF(B14&gt;Setup!$I$4,"Future waitlist date",IF(D14&gt;E14,"Invalid age/date",IF(F14&gt;G14,"Invalid window",IF(OR(E14&lt;F14,E14&gt;G14),"Preferred date outside window",IF(G14&lt;Setup!$I$4,"Window expired",IF(OR(M14="",N14="Outside configured ranges"),"Outside age bands","Ready"))))))))))))</f>
        <v/>
      </c>
      <c r="S14" s="27">
        <f>IF(R14&lt;&gt;"Ready","",ROUND(O14*Setup!$I$5+MAX(0,Setup!$I$6-MAX(0,P14))*Setup!$I$7+Q14,1))</f>
        <v/>
      </c>
      <c r="T14" s="16">
        <f>IF(S14="","",1+COUNTIFS($R$2:$R$201,"Ready",$N$2:$N$201,N14,$S$2:$S$201,"&gt;"&amp;S14)+COUNTIFS($R$2:$R$201,"Ready",$N$2:$N$201,N14,$S$2:$S$201,"="&amp;S14,$B$2:$B$201,"&lt;"&amp;B14)+COUNTIFS($R$2:$R$201,"Ready",$N$2:$N$201,N14,$S$2:$S$201,"="&amp;S14,$B$2:$B$201,"="&amp;B14,$A$2:$A$201,"&lt;"&amp;A14))</f>
        <v/>
      </c>
      <c r="U14" s="17">
        <f>IF(A14="","",IF(R14&lt;&gt;"Ready",R14,IF(AND(K14="Not Contacted",J14&lt;&gt;""),"Clear last contact date or update outcome",IF(AND(K14&lt;&gt;"Not Contacted",J14=""),"Add last contact date",IF(AND(J14&lt;&gt;"",J14&gt;Setup!$I$4),"Last contact is after review date",IF(K14="Declined","Align status with declined outcome",IF(AND(L14&lt;&gt;"",L14&gt;G14),"Follow-up is after latest start",IF(AND(L14&lt;&gt;"",L14&lt;Setup!$I$4),"Follow-up overdue",IF(AND(L14&lt;&gt;"",L14&lt;=Setup!$I$4+Setup!$I$9),"Follow-up due soon",IF(AND(J14&lt;&gt;"",Setup!$I$4-J14&gt;Setup!$I$8),"Contact may be stale",""))))))))))</f>
        <v/>
      </c>
    </row>
    <row r="15" ht="22" customHeight="1">
      <c r="A15" s="13" t="n"/>
      <c r="B15" s="14" t="n"/>
      <c r="C15" s="15" t="n"/>
      <c r="D15" s="14" t="n"/>
      <c r="E15" s="14" t="n"/>
      <c r="F15" s="14" t="n"/>
      <c r="G15" s="14" t="n"/>
      <c r="H15" s="15" t="n"/>
      <c r="I15" s="13" t="n"/>
      <c r="J15" s="14" t="n"/>
      <c r="K15" s="15" t="n"/>
      <c r="L15" s="14" t="n"/>
      <c r="M15" s="16">
        <f>IF(OR(D15="",E15=""),"",12*(YEAR(E15)-YEAR(D15))+MONTH(E15)-MONTH(D15)-IF(DAY(E15)&lt;DAY(D15),1,0))</f>
        <v/>
      </c>
      <c r="N15" s="17">
        <f>IF(M15="","",IFERROR(IF(M15&lt;=VLOOKUP(M15,Setup!$A$4:$C$7,3,TRUE),VLOOKUP(M15,Setup!$A$4:$C$7,2,TRUE),"Outside configured ranges"),"Outside configured ranges"))</f>
        <v/>
      </c>
      <c r="O15" s="16">
        <f>IF(OR(B15="",B15&gt;Setup!$I$4),"",Setup!$I$4-B15)</f>
        <v/>
      </c>
      <c r="P15" s="16">
        <f>IF(G15="","",G15-Setup!$I$4)</f>
        <v/>
      </c>
      <c r="Q15" s="27">
        <f>IF(K15="","",IFERROR(VLOOKUP(K15,Setup!$E$4:$F$9,2,FALSE),""))</f>
        <v/>
      </c>
      <c r="R15" s="17">
        <f>IF(A15="","",IF(OR(B15="",C15="",D15="",E15="",F15="",G15="",H15="",I15="",K15=""),"Incomplete",IF(COUNTIF(Setup!$K$4:$K$8,I15)=0,"Invalid status",IF(COUNTIF(Setup!$L$4:$L$8,H15)=0,"Invalid schedule",IF(COUNTIF(Setup!$E$4:$E$9,K15)=0,"Invalid contact outcome",IF(I15&lt;&gt;"Active","Not active",IF(B15&gt;Setup!$I$4,"Future waitlist date",IF(D15&gt;E15,"Invalid age/date",IF(F15&gt;G15,"Invalid window",IF(OR(E15&lt;F15,E15&gt;G15),"Preferred date outside window",IF(G15&lt;Setup!$I$4,"Window expired",IF(OR(M15="",N15="Outside configured ranges"),"Outside age bands","Ready"))))))))))))</f>
        <v/>
      </c>
      <c r="S15" s="27">
        <f>IF(R15&lt;&gt;"Ready","",ROUND(O15*Setup!$I$5+MAX(0,Setup!$I$6-MAX(0,P15))*Setup!$I$7+Q15,1))</f>
        <v/>
      </c>
      <c r="T15" s="16">
        <f>IF(S15="","",1+COUNTIFS($R$2:$R$201,"Ready",$N$2:$N$201,N15,$S$2:$S$201,"&gt;"&amp;S15)+COUNTIFS($R$2:$R$201,"Ready",$N$2:$N$201,N15,$S$2:$S$201,"="&amp;S15,$B$2:$B$201,"&lt;"&amp;B15)+COUNTIFS($R$2:$R$201,"Ready",$N$2:$N$201,N15,$S$2:$S$201,"="&amp;S15,$B$2:$B$201,"="&amp;B15,$A$2:$A$201,"&lt;"&amp;A15))</f>
        <v/>
      </c>
      <c r="U15" s="17">
        <f>IF(A15="","",IF(R15&lt;&gt;"Ready",R15,IF(AND(K15="Not Contacted",J15&lt;&gt;""),"Clear last contact date or update outcome",IF(AND(K15&lt;&gt;"Not Contacted",J15=""),"Add last contact date",IF(AND(J15&lt;&gt;"",J15&gt;Setup!$I$4),"Last contact is after review date",IF(K15="Declined","Align status with declined outcome",IF(AND(L15&lt;&gt;"",L15&gt;G15),"Follow-up is after latest start",IF(AND(L15&lt;&gt;"",L15&lt;Setup!$I$4),"Follow-up overdue",IF(AND(L15&lt;&gt;"",L15&lt;=Setup!$I$4+Setup!$I$9),"Follow-up due soon",IF(AND(J15&lt;&gt;"",Setup!$I$4-J15&gt;Setup!$I$8),"Contact may be stale",""))))))))))</f>
        <v/>
      </c>
    </row>
    <row r="16" ht="22" customHeight="1">
      <c r="A16" s="13" t="n"/>
      <c r="B16" s="14" t="n"/>
      <c r="C16" s="15" t="n"/>
      <c r="D16" s="14" t="n"/>
      <c r="E16" s="14" t="n"/>
      <c r="F16" s="14" t="n"/>
      <c r="G16" s="14" t="n"/>
      <c r="H16" s="15" t="n"/>
      <c r="I16" s="13" t="n"/>
      <c r="J16" s="14" t="n"/>
      <c r="K16" s="15" t="n"/>
      <c r="L16" s="14" t="n"/>
      <c r="M16" s="16">
        <f>IF(OR(D16="",E16=""),"",12*(YEAR(E16)-YEAR(D16))+MONTH(E16)-MONTH(D16)-IF(DAY(E16)&lt;DAY(D16),1,0))</f>
        <v/>
      </c>
      <c r="N16" s="17">
        <f>IF(M16="","",IFERROR(IF(M16&lt;=VLOOKUP(M16,Setup!$A$4:$C$7,3,TRUE),VLOOKUP(M16,Setup!$A$4:$C$7,2,TRUE),"Outside configured ranges"),"Outside configured ranges"))</f>
        <v/>
      </c>
      <c r="O16" s="16">
        <f>IF(OR(B16="",B16&gt;Setup!$I$4),"",Setup!$I$4-B16)</f>
        <v/>
      </c>
      <c r="P16" s="16">
        <f>IF(G16="","",G16-Setup!$I$4)</f>
        <v/>
      </c>
      <c r="Q16" s="27">
        <f>IF(K16="","",IFERROR(VLOOKUP(K16,Setup!$E$4:$F$9,2,FALSE),""))</f>
        <v/>
      </c>
      <c r="R16" s="17">
        <f>IF(A16="","",IF(OR(B16="",C16="",D16="",E16="",F16="",G16="",H16="",I16="",K16=""),"Incomplete",IF(COUNTIF(Setup!$K$4:$K$8,I16)=0,"Invalid status",IF(COUNTIF(Setup!$L$4:$L$8,H16)=0,"Invalid schedule",IF(COUNTIF(Setup!$E$4:$E$9,K16)=0,"Invalid contact outcome",IF(I16&lt;&gt;"Active","Not active",IF(B16&gt;Setup!$I$4,"Future waitlist date",IF(D16&gt;E16,"Invalid age/date",IF(F16&gt;G16,"Invalid window",IF(OR(E16&lt;F16,E16&gt;G16),"Preferred date outside window",IF(G16&lt;Setup!$I$4,"Window expired",IF(OR(M16="",N16="Outside configured ranges"),"Outside age bands","Ready"))))))))))))</f>
        <v/>
      </c>
      <c r="S16" s="27">
        <f>IF(R16&lt;&gt;"Ready","",ROUND(O16*Setup!$I$5+MAX(0,Setup!$I$6-MAX(0,P16))*Setup!$I$7+Q16,1))</f>
        <v/>
      </c>
      <c r="T16" s="16">
        <f>IF(S16="","",1+COUNTIFS($R$2:$R$201,"Ready",$N$2:$N$201,N16,$S$2:$S$201,"&gt;"&amp;S16)+COUNTIFS($R$2:$R$201,"Ready",$N$2:$N$201,N16,$S$2:$S$201,"="&amp;S16,$B$2:$B$201,"&lt;"&amp;B16)+COUNTIFS($R$2:$R$201,"Ready",$N$2:$N$201,N16,$S$2:$S$201,"="&amp;S16,$B$2:$B$201,"="&amp;B16,$A$2:$A$201,"&lt;"&amp;A16))</f>
        <v/>
      </c>
      <c r="U16" s="17">
        <f>IF(A16="","",IF(R16&lt;&gt;"Ready",R16,IF(AND(K16="Not Contacted",J16&lt;&gt;""),"Clear last contact date or update outcome",IF(AND(K16&lt;&gt;"Not Contacted",J16=""),"Add last contact date",IF(AND(J16&lt;&gt;"",J16&gt;Setup!$I$4),"Last contact is after review date",IF(K16="Declined","Align status with declined outcome",IF(AND(L16&lt;&gt;"",L16&gt;G16),"Follow-up is after latest start",IF(AND(L16&lt;&gt;"",L16&lt;Setup!$I$4),"Follow-up overdue",IF(AND(L16&lt;&gt;"",L16&lt;=Setup!$I$4+Setup!$I$9),"Follow-up due soon",IF(AND(J16&lt;&gt;"",Setup!$I$4-J16&gt;Setup!$I$8),"Contact may be stale",""))))))))))</f>
        <v/>
      </c>
    </row>
    <row r="17" ht="22" customHeight="1">
      <c r="A17" s="13" t="n"/>
      <c r="B17" s="14" t="n"/>
      <c r="C17" s="15" t="n"/>
      <c r="D17" s="14" t="n"/>
      <c r="E17" s="14" t="n"/>
      <c r="F17" s="14" t="n"/>
      <c r="G17" s="14" t="n"/>
      <c r="H17" s="15" t="n"/>
      <c r="I17" s="13" t="n"/>
      <c r="J17" s="14" t="n"/>
      <c r="K17" s="15" t="n"/>
      <c r="L17" s="14" t="n"/>
      <c r="M17" s="16">
        <f>IF(OR(D17="",E17=""),"",12*(YEAR(E17)-YEAR(D17))+MONTH(E17)-MONTH(D17)-IF(DAY(E17)&lt;DAY(D17),1,0))</f>
        <v/>
      </c>
      <c r="N17" s="17">
        <f>IF(M17="","",IFERROR(IF(M17&lt;=VLOOKUP(M17,Setup!$A$4:$C$7,3,TRUE),VLOOKUP(M17,Setup!$A$4:$C$7,2,TRUE),"Outside configured ranges"),"Outside configured ranges"))</f>
        <v/>
      </c>
      <c r="O17" s="16">
        <f>IF(OR(B17="",B17&gt;Setup!$I$4),"",Setup!$I$4-B17)</f>
        <v/>
      </c>
      <c r="P17" s="16">
        <f>IF(G17="","",G17-Setup!$I$4)</f>
        <v/>
      </c>
      <c r="Q17" s="27">
        <f>IF(K17="","",IFERROR(VLOOKUP(K17,Setup!$E$4:$F$9,2,FALSE),""))</f>
        <v/>
      </c>
      <c r="R17" s="17">
        <f>IF(A17="","",IF(OR(B17="",C17="",D17="",E17="",F17="",G17="",H17="",I17="",K17=""),"Incomplete",IF(COUNTIF(Setup!$K$4:$K$8,I17)=0,"Invalid status",IF(COUNTIF(Setup!$L$4:$L$8,H17)=0,"Invalid schedule",IF(COUNTIF(Setup!$E$4:$E$9,K17)=0,"Invalid contact outcome",IF(I17&lt;&gt;"Active","Not active",IF(B17&gt;Setup!$I$4,"Future waitlist date",IF(D17&gt;E17,"Invalid age/date",IF(F17&gt;G17,"Invalid window",IF(OR(E17&lt;F17,E17&gt;G17),"Preferred date outside window",IF(G17&lt;Setup!$I$4,"Window expired",IF(OR(M17="",N17="Outside configured ranges"),"Outside age bands","Ready"))))))))))))</f>
        <v/>
      </c>
      <c r="S17" s="27">
        <f>IF(R17&lt;&gt;"Ready","",ROUND(O17*Setup!$I$5+MAX(0,Setup!$I$6-MAX(0,P17))*Setup!$I$7+Q17,1))</f>
        <v/>
      </c>
      <c r="T17" s="16">
        <f>IF(S17="","",1+COUNTIFS($R$2:$R$201,"Ready",$N$2:$N$201,N17,$S$2:$S$201,"&gt;"&amp;S17)+COUNTIFS($R$2:$R$201,"Ready",$N$2:$N$201,N17,$S$2:$S$201,"="&amp;S17,$B$2:$B$201,"&lt;"&amp;B17)+COUNTIFS($R$2:$R$201,"Ready",$N$2:$N$201,N17,$S$2:$S$201,"="&amp;S17,$B$2:$B$201,"="&amp;B17,$A$2:$A$201,"&lt;"&amp;A17))</f>
        <v/>
      </c>
      <c r="U17" s="17">
        <f>IF(A17="","",IF(R17&lt;&gt;"Ready",R17,IF(AND(K17="Not Contacted",J17&lt;&gt;""),"Clear last contact date or update outcome",IF(AND(K17&lt;&gt;"Not Contacted",J17=""),"Add last contact date",IF(AND(J17&lt;&gt;"",J17&gt;Setup!$I$4),"Last contact is after review date",IF(K17="Declined","Align status with declined outcome",IF(AND(L17&lt;&gt;"",L17&gt;G17),"Follow-up is after latest start",IF(AND(L17&lt;&gt;"",L17&lt;Setup!$I$4),"Follow-up overdue",IF(AND(L17&lt;&gt;"",L17&lt;=Setup!$I$4+Setup!$I$9),"Follow-up due soon",IF(AND(J17&lt;&gt;"",Setup!$I$4-J17&gt;Setup!$I$8),"Contact may be stale",""))))))))))</f>
        <v/>
      </c>
    </row>
    <row r="18" ht="22" customHeight="1">
      <c r="A18" s="13" t="n"/>
      <c r="B18" s="14" t="n"/>
      <c r="C18" s="15" t="n"/>
      <c r="D18" s="14" t="n"/>
      <c r="E18" s="14" t="n"/>
      <c r="F18" s="14" t="n"/>
      <c r="G18" s="14" t="n"/>
      <c r="H18" s="15" t="n"/>
      <c r="I18" s="13" t="n"/>
      <c r="J18" s="14" t="n"/>
      <c r="K18" s="15" t="n"/>
      <c r="L18" s="14" t="n"/>
      <c r="M18" s="16">
        <f>IF(OR(D18="",E18=""),"",12*(YEAR(E18)-YEAR(D18))+MONTH(E18)-MONTH(D18)-IF(DAY(E18)&lt;DAY(D18),1,0))</f>
        <v/>
      </c>
      <c r="N18" s="17">
        <f>IF(M18="","",IFERROR(IF(M18&lt;=VLOOKUP(M18,Setup!$A$4:$C$7,3,TRUE),VLOOKUP(M18,Setup!$A$4:$C$7,2,TRUE),"Outside configured ranges"),"Outside configured ranges"))</f>
        <v/>
      </c>
      <c r="O18" s="16">
        <f>IF(OR(B18="",B18&gt;Setup!$I$4),"",Setup!$I$4-B18)</f>
        <v/>
      </c>
      <c r="P18" s="16">
        <f>IF(G18="","",G18-Setup!$I$4)</f>
        <v/>
      </c>
      <c r="Q18" s="27">
        <f>IF(K18="","",IFERROR(VLOOKUP(K18,Setup!$E$4:$F$9,2,FALSE),""))</f>
        <v/>
      </c>
      <c r="R18" s="17">
        <f>IF(A18="","",IF(OR(B18="",C18="",D18="",E18="",F18="",G18="",H18="",I18="",K18=""),"Incomplete",IF(COUNTIF(Setup!$K$4:$K$8,I18)=0,"Invalid status",IF(COUNTIF(Setup!$L$4:$L$8,H18)=0,"Invalid schedule",IF(COUNTIF(Setup!$E$4:$E$9,K18)=0,"Invalid contact outcome",IF(I18&lt;&gt;"Active","Not active",IF(B18&gt;Setup!$I$4,"Future waitlist date",IF(D18&gt;E18,"Invalid age/date",IF(F18&gt;G18,"Invalid window",IF(OR(E18&lt;F18,E18&gt;G18),"Preferred date outside window",IF(G18&lt;Setup!$I$4,"Window expired",IF(OR(M18="",N18="Outside configured ranges"),"Outside age bands","Ready"))))))))))))</f>
        <v/>
      </c>
      <c r="S18" s="27">
        <f>IF(R18&lt;&gt;"Ready","",ROUND(O18*Setup!$I$5+MAX(0,Setup!$I$6-MAX(0,P18))*Setup!$I$7+Q18,1))</f>
        <v/>
      </c>
      <c r="T18" s="16">
        <f>IF(S18="","",1+COUNTIFS($R$2:$R$201,"Ready",$N$2:$N$201,N18,$S$2:$S$201,"&gt;"&amp;S18)+COUNTIFS($R$2:$R$201,"Ready",$N$2:$N$201,N18,$S$2:$S$201,"="&amp;S18,$B$2:$B$201,"&lt;"&amp;B18)+COUNTIFS($R$2:$R$201,"Ready",$N$2:$N$201,N18,$S$2:$S$201,"="&amp;S18,$B$2:$B$201,"="&amp;B18,$A$2:$A$201,"&lt;"&amp;A18))</f>
        <v/>
      </c>
      <c r="U18" s="17">
        <f>IF(A18="","",IF(R18&lt;&gt;"Ready",R18,IF(AND(K18="Not Contacted",J18&lt;&gt;""),"Clear last contact date or update outcome",IF(AND(K18&lt;&gt;"Not Contacted",J18=""),"Add last contact date",IF(AND(J18&lt;&gt;"",J18&gt;Setup!$I$4),"Last contact is after review date",IF(K18="Declined","Align status with declined outcome",IF(AND(L18&lt;&gt;"",L18&gt;G18),"Follow-up is after latest start",IF(AND(L18&lt;&gt;"",L18&lt;Setup!$I$4),"Follow-up overdue",IF(AND(L18&lt;&gt;"",L18&lt;=Setup!$I$4+Setup!$I$9),"Follow-up due soon",IF(AND(J18&lt;&gt;"",Setup!$I$4-J18&gt;Setup!$I$8),"Contact may be stale",""))))))))))</f>
        <v/>
      </c>
    </row>
    <row r="19" ht="22" customHeight="1">
      <c r="A19" s="13" t="n"/>
      <c r="B19" s="14" t="n"/>
      <c r="C19" s="15" t="n"/>
      <c r="D19" s="14" t="n"/>
      <c r="E19" s="14" t="n"/>
      <c r="F19" s="14" t="n"/>
      <c r="G19" s="14" t="n"/>
      <c r="H19" s="15" t="n"/>
      <c r="I19" s="13" t="n"/>
      <c r="J19" s="14" t="n"/>
      <c r="K19" s="15" t="n"/>
      <c r="L19" s="14" t="n"/>
      <c r="M19" s="16">
        <f>IF(OR(D19="",E19=""),"",12*(YEAR(E19)-YEAR(D19))+MONTH(E19)-MONTH(D19)-IF(DAY(E19)&lt;DAY(D19),1,0))</f>
        <v/>
      </c>
      <c r="N19" s="17">
        <f>IF(M19="","",IFERROR(IF(M19&lt;=VLOOKUP(M19,Setup!$A$4:$C$7,3,TRUE),VLOOKUP(M19,Setup!$A$4:$C$7,2,TRUE),"Outside configured ranges"),"Outside configured ranges"))</f>
        <v/>
      </c>
      <c r="O19" s="16">
        <f>IF(OR(B19="",B19&gt;Setup!$I$4),"",Setup!$I$4-B19)</f>
        <v/>
      </c>
      <c r="P19" s="16">
        <f>IF(G19="","",G19-Setup!$I$4)</f>
        <v/>
      </c>
      <c r="Q19" s="27">
        <f>IF(K19="","",IFERROR(VLOOKUP(K19,Setup!$E$4:$F$9,2,FALSE),""))</f>
        <v/>
      </c>
      <c r="R19" s="17">
        <f>IF(A19="","",IF(OR(B19="",C19="",D19="",E19="",F19="",G19="",H19="",I19="",K19=""),"Incomplete",IF(COUNTIF(Setup!$K$4:$K$8,I19)=0,"Invalid status",IF(COUNTIF(Setup!$L$4:$L$8,H19)=0,"Invalid schedule",IF(COUNTIF(Setup!$E$4:$E$9,K19)=0,"Invalid contact outcome",IF(I19&lt;&gt;"Active","Not active",IF(B19&gt;Setup!$I$4,"Future waitlist date",IF(D19&gt;E19,"Invalid age/date",IF(F19&gt;G19,"Invalid window",IF(OR(E19&lt;F19,E19&gt;G19),"Preferred date outside window",IF(G19&lt;Setup!$I$4,"Window expired",IF(OR(M19="",N19="Outside configured ranges"),"Outside age bands","Ready"))))))))))))</f>
        <v/>
      </c>
      <c r="S19" s="27">
        <f>IF(R19&lt;&gt;"Ready","",ROUND(O19*Setup!$I$5+MAX(0,Setup!$I$6-MAX(0,P19))*Setup!$I$7+Q19,1))</f>
        <v/>
      </c>
      <c r="T19" s="16">
        <f>IF(S19="","",1+COUNTIFS($R$2:$R$201,"Ready",$N$2:$N$201,N19,$S$2:$S$201,"&gt;"&amp;S19)+COUNTIFS($R$2:$R$201,"Ready",$N$2:$N$201,N19,$S$2:$S$201,"="&amp;S19,$B$2:$B$201,"&lt;"&amp;B19)+COUNTIFS($R$2:$R$201,"Ready",$N$2:$N$201,N19,$S$2:$S$201,"="&amp;S19,$B$2:$B$201,"="&amp;B19,$A$2:$A$201,"&lt;"&amp;A19))</f>
        <v/>
      </c>
      <c r="U19" s="17">
        <f>IF(A19="","",IF(R19&lt;&gt;"Ready",R19,IF(AND(K19="Not Contacted",J19&lt;&gt;""),"Clear last contact date or update outcome",IF(AND(K19&lt;&gt;"Not Contacted",J19=""),"Add last contact date",IF(AND(J19&lt;&gt;"",J19&gt;Setup!$I$4),"Last contact is after review date",IF(K19="Declined","Align status with declined outcome",IF(AND(L19&lt;&gt;"",L19&gt;G19),"Follow-up is after latest start",IF(AND(L19&lt;&gt;"",L19&lt;Setup!$I$4),"Follow-up overdue",IF(AND(L19&lt;&gt;"",L19&lt;=Setup!$I$4+Setup!$I$9),"Follow-up due soon",IF(AND(J19&lt;&gt;"",Setup!$I$4-J19&gt;Setup!$I$8),"Contact may be stale",""))))))))))</f>
        <v/>
      </c>
    </row>
    <row r="20" ht="22" customHeight="1">
      <c r="A20" s="13" t="n"/>
      <c r="B20" s="14" t="n"/>
      <c r="C20" s="15" t="n"/>
      <c r="D20" s="14" t="n"/>
      <c r="E20" s="14" t="n"/>
      <c r="F20" s="14" t="n"/>
      <c r="G20" s="14" t="n"/>
      <c r="H20" s="15" t="n"/>
      <c r="I20" s="13" t="n"/>
      <c r="J20" s="14" t="n"/>
      <c r="K20" s="15" t="n"/>
      <c r="L20" s="14" t="n"/>
      <c r="M20" s="16">
        <f>IF(OR(D20="",E20=""),"",12*(YEAR(E20)-YEAR(D20))+MONTH(E20)-MONTH(D20)-IF(DAY(E20)&lt;DAY(D20),1,0))</f>
        <v/>
      </c>
      <c r="N20" s="17">
        <f>IF(M20="","",IFERROR(IF(M20&lt;=VLOOKUP(M20,Setup!$A$4:$C$7,3,TRUE),VLOOKUP(M20,Setup!$A$4:$C$7,2,TRUE),"Outside configured ranges"),"Outside configured ranges"))</f>
        <v/>
      </c>
      <c r="O20" s="16">
        <f>IF(OR(B20="",B20&gt;Setup!$I$4),"",Setup!$I$4-B20)</f>
        <v/>
      </c>
      <c r="P20" s="16">
        <f>IF(G20="","",G20-Setup!$I$4)</f>
        <v/>
      </c>
      <c r="Q20" s="27">
        <f>IF(K20="","",IFERROR(VLOOKUP(K20,Setup!$E$4:$F$9,2,FALSE),""))</f>
        <v/>
      </c>
      <c r="R20" s="17">
        <f>IF(A20="","",IF(OR(B20="",C20="",D20="",E20="",F20="",G20="",H20="",I20="",K20=""),"Incomplete",IF(COUNTIF(Setup!$K$4:$K$8,I20)=0,"Invalid status",IF(COUNTIF(Setup!$L$4:$L$8,H20)=0,"Invalid schedule",IF(COUNTIF(Setup!$E$4:$E$9,K20)=0,"Invalid contact outcome",IF(I20&lt;&gt;"Active","Not active",IF(B20&gt;Setup!$I$4,"Future waitlist date",IF(D20&gt;E20,"Invalid age/date",IF(F20&gt;G20,"Invalid window",IF(OR(E20&lt;F20,E20&gt;G20),"Preferred date outside window",IF(G20&lt;Setup!$I$4,"Window expired",IF(OR(M20="",N20="Outside configured ranges"),"Outside age bands","Ready"))))))))))))</f>
        <v/>
      </c>
      <c r="S20" s="27">
        <f>IF(R20&lt;&gt;"Ready","",ROUND(O20*Setup!$I$5+MAX(0,Setup!$I$6-MAX(0,P20))*Setup!$I$7+Q20,1))</f>
        <v/>
      </c>
      <c r="T20" s="16">
        <f>IF(S20="","",1+COUNTIFS($R$2:$R$201,"Ready",$N$2:$N$201,N20,$S$2:$S$201,"&gt;"&amp;S20)+COUNTIFS($R$2:$R$201,"Ready",$N$2:$N$201,N20,$S$2:$S$201,"="&amp;S20,$B$2:$B$201,"&lt;"&amp;B20)+COUNTIFS($R$2:$R$201,"Ready",$N$2:$N$201,N20,$S$2:$S$201,"="&amp;S20,$B$2:$B$201,"="&amp;B20,$A$2:$A$201,"&lt;"&amp;A20))</f>
        <v/>
      </c>
      <c r="U20" s="17">
        <f>IF(A20="","",IF(R20&lt;&gt;"Ready",R20,IF(AND(K20="Not Contacted",J20&lt;&gt;""),"Clear last contact date or update outcome",IF(AND(K20&lt;&gt;"Not Contacted",J20=""),"Add last contact date",IF(AND(J20&lt;&gt;"",J20&gt;Setup!$I$4),"Last contact is after review date",IF(K20="Declined","Align status with declined outcome",IF(AND(L20&lt;&gt;"",L20&gt;G20),"Follow-up is after latest start",IF(AND(L20&lt;&gt;"",L20&lt;Setup!$I$4),"Follow-up overdue",IF(AND(L20&lt;&gt;"",L20&lt;=Setup!$I$4+Setup!$I$9),"Follow-up due soon",IF(AND(J20&lt;&gt;"",Setup!$I$4-J20&gt;Setup!$I$8),"Contact may be stale",""))))))))))</f>
        <v/>
      </c>
    </row>
    <row r="21" ht="22" customHeight="1">
      <c r="A21" s="13" t="n"/>
      <c r="B21" s="14" t="n"/>
      <c r="C21" s="15" t="n"/>
      <c r="D21" s="14" t="n"/>
      <c r="E21" s="14" t="n"/>
      <c r="F21" s="14" t="n"/>
      <c r="G21" s="14" t="n"/>
      <c r="H21" s="15" t="n"/>
      <c r="I21" s="13" t="n"/>
      <c r="J21" s="14" t="n"/>
      <c r="K21" s="15" t="n"/>
      <c r="L21" s="14" t="n"/>
      <c r="M21" s="16">
        <f>IF(OR(D21="",E21=""),"",12*(YEAR(E21)-YEAR(D21))+MONTH(E21)-MONTH(D21)-IF(DAY(E21)&lt;DAY(D21),1,0))</f>
        <v/>
      </c>
      <c r="N21" s="17">
        <f>IF(M21="","",IFERROR(IF(M21&lt;=VLOOKUP(M21,Setup!$A$4:$C$7,3,TRUE),VLOOKUP(M21,Setup!$A$4:$C$7,2,TRUE),"Outside configured ranges"),"Outside configured ranges"))</f>
        <v/>
      </c>
      <c r="O21" s="16">
        <f>IF(OR(B21="",B21&gt;Setup!$I$4),"",Setup!$I$4-B21)</f>
        <v/>
      </c>
      <c r="P21" s="16">
        <f>IF(G21="","",G21-Setup!$I$4)</f>
        <v/>
      </c>
      <c r="Q21" s="27">
        <f>IF(K21="","",IFERROR(VLOOKUP(K21,Setup!$E$4:$F$9,2,FALSE),""))</f>
        <v/>
      </c>
      <c r="R21" s="17">
        <f>IF(A21="","",IF(OR(B21="",C21="",D21="",E21="",F21="",G21="",H21="",I21="",K21=""),"Incomplete",IF(COUNTIF(Setup!$K$4:$K$8,I21)=0,"Invalid status",IF(COUNTIF(Setup!$L$4:$L$8,H21)=0,"Invalid schedule",IF(COUNTIF(Setup!$E$4:$E$9,K21)=0,"Invalid contact outcome",IF(I21&lt;&gt;"Active","Not active",IF(B21&gt;Setup!$I$4,"Future waitlist date",IF(D21&gt;E21,"Invalid age/date",IF(F21&gt;G21,"Invalid window",IF(OR(E21&lt;F21,E21&gt;G21),"Preferred date outside window",IF(G21&lt;Setup!$I$4,"Window expired",IF(OR(M21="",N21="Outside configured ranges"),"Outside age bands","Ready"))))))))))))</f>
        <v/>
      </c>
      <c r="S21" s="27">
        <f>IF(R21&lt;&gt;"Ready","",ROUND(O21*Setup!$I$5+MAX(0,Setup!$I$6-MAX(0,P21))*Setup!$I$7+Q21,1))</f>
        <v/>
      </c>
      <c r="T21" s="16">
        <f>IF(S21="","",1+COUNTIFS($R$2:$R$201,"Ready",$N$2:$N$201,N21,$S$2:$S$201,"&gt;"&amp;S21)+COUNTIFS($R$2:$R$201,"Ready",$N$2:$N$201,N21,$S$2:$S$201,"="&amp;S21,$B$2:$B$201,"&lt;"&amp;B21)+COUNTIFS($R$2:$R$201,"Ready",$N$2:$N$201,N21,$S$2:$S$201,"="&amp;S21,$B$2:$B$201,"="&amp;B21,$A$2:$A$201,"&lt;"&amp;A21))</f>
        <v/>
      </c>
      <c r="U21" s="17">
        <f>IF(A21="","",IF(R21&lt;&gt;"Ready",R21,IF(AND(K21="Not Contacted",J21&lt;&gt;""),"Clear last contact date or update outcome",IF(AND(K21&lt;&gt;"Not Contacted",J21=""),"Add last contact date",IF(AND(J21&lt;&gt;"",J21&gt;Setup!$I$4),"Last contact is after review date",IF(K21="Declined","Align status with declined outcome",IF(AND(L21&lt;&gt;"",L21&gt;G21),"Follow-up is after latest start",IF(AND(L21&lt;&gt;"",L21&lt;Setup!$I$4),"Follow-up overdue",IF(AND(L21&lt;&gt;"",L21&lt;=Setup!$I$4+Setup!$I$9),"Follow-up due soon",IF(AND(J21&lt;&gt;"",Setup!$I$4-J21&gt;Setup!$I$8),"Contact may be stale",""))))))))))</f>
        <v/>
      </c>
    </row>
    <row r="22" ht="22" customHeight="1">
      <c r="A22" s="13" t="n"/>
      <c r="B22" s="14" t="n"/>
      <c r="C22" s="15" t="n"/>
      <c r="D22" s="14" t="n"/>
      <c r="E22" s="14" t="n"/>
      <c r="F22" s="14" t="n"/>
      <c r="G22" s="14" t="n"/>
      <c r="H22" s="15" t="n"/>
      <c r="I22" s="13" t="n"/>
      <c r="J22" s="14" t="n"/>
      <c r="K22" s="15" t="n"/>
      <c r="L22" s="14" t="n"/>
      <c r="M22" s="16">
        <f>IF(OR(D22="",E22=""),"",12*(YEAR(E22)-YEAR(D22))+MONTH(E22)-MONTH(D22)-IF(DAY(E22)&lt;DAY(D22),1,0))</f>
        <v/>
      </c>
      <c r="N22" s="17">
        <f>IF(M22="","",IFERROR(IF(M22&lt;=VLOOKUP(M22,Setup!$A$4:$C$7,3,TRUE),VLOOKUP(M22,Setup!$A$4:$C$7,2,TRUE),"Outside configured ranges"),"Outside configured ranges"))</f>
        <v/>
      </c>
      <c r="O22" s="16">
        <f>IF(OR(B22="",B22&gt;Setup!$I$4),"",Setup!$I$4-B22)</f>
        <v/>
      </c>
      <c r="P22" s="16">
        <f>IF(G22="","",G22-Setup!$I$4)</f>
        <v/>
      </c>
      <c r="Q22" s="27">
        <f>IF(K22="","",IFERROR(VLOOKUP(K22,Setup!$E$4:$F$9,2,FALSE),""))</f>
        <v/>
      </c>
      <c r="R22" s="17">
        <f>IF(A22="","",IF(OR(B22="",C22="",D22="",E22="",F22="",G22="",H22="",I22="",K22=""),"Incomplete",IF(COUNTIF(Setup!$K$4:$K$8,I22)=0,"Invalid status",IF(COUNTIF(Setup!$L$4:$L$8,H22)=0,"Invalid schedule",IF(COUNTIF(Setup!$E$4:$E$9,K22)=0,"Invalid contact outcome",IF(I22&lt;&gt;"Active","Not active",IF(B22&gt;Setup!$I$4,"Future waitlist date",IF(D22&gt;E22,"Invalid age/date",IF(F22&gt;G22,"Invalid window",IF(OR(E22&lt;F22,E22&gt;G22),"Preferred date outside window",IF(G22&lt;Setup!$I$4,"Window expired",IF(OR(M22="",N22="Outside configured ranges"),"Outside age bands","Ready"))))))))))))</f>
        <v/>
      </c>
      <c r="S22" s="27">
        <f>IF(R22&lt;&gt;"Ready","",ROUND(O22*Setup!$I$5+MAX(0,Setup!$I$6-MAX(0,P22))*Setup!$I$7+Q22,1))</f>
        <v/>
      </c>
      <c r="T22" s="16">
        <f>IF(S22="","",1+COUNTIFS($R$2:$R$201,"Ready",$N$2:$N$201,N22,$S$2:$S$201,"&gt;"&amp;S22)+COUNTIFS($R$2:$R$201,"Ready",$N$2:$N$201,N22,$S$2:$S$201,"="&amp;S22,$B$2:$B$201,"&lt;"&amp;B22)+COUNTIFS($R$2:$R$201,"Ready",$N$2:$N$201,N22,$S$2:$S$201,"="&amp;S22,$B$2:$B$201,"="&amp;B22,$A$2:$A$201,"&lt;"&amp;A22))</f>
        <v/>
      </c>
      <c r="U22" s="17">
        <f>IF(A22="","",IF(R22&lt;&gt;"Ready",R22,IF(AND(K22="Not Contacted",J22&lt;&gt;""),"Clear last contact date or update outcome",IF(AND(K22&lt;&gt;"Not Contacted",J22=""),"Add last contact date",IF(AND(J22&lt;&gt;"",J22&gt;Setup!$I$4),"Last contact is after review date",IF(K22="Declined","Align status with declined outcome",IF(AND(L22&lt;&gt;"",L22&gt;G22),"Follow-up is after latest start",IF(AND(L22&lt;&gt;"",L22&lt;Setup!$I$4),"Follow-up overdue",IF(AND(L22&lt;&gt;"",L22&lt;=Setup!$I$4+Setup!$I$9),"Follow-up due soon",IF(AND(J22&lt;&gt;"",Setup!$I$4-J22&gt;Setup!$I$8),"Contact may be stale",""))))))))))</f>
        <v/>
      </c>
    </row>
    <row r="23" ht="22" customHeight="1">
      <c r="A23" s="13" t="n"/>
      <c r="B23" s="14" t="n"/>
      <c r="C23" s="15" t="n"/>
      <c r="D23" s="14" t="n"/>
      <c r="E23" s="14" t="n"/>
      <c r="F23" s="14" t="n"/>
      <c r="G23" s="14" t="n"/>
      <c r="H23" s="15" t="n"/>
      <c r="I23" s="13" t="n"/>
      <c r="J23" s="14" t="n"/>
      <c r="K23" s="15" t="n"/>
      <c r="L23" s="14" t="n"/>
      <c r="M23" s="16">
        <f>IF(OR(D23="",E23=""),"",12*(YEAR(E23)-YEAR(D23))+MONTH(E23)-MONTH(D23)-IF(DAY(E23)&lt;DAY(D23),1,0))</f>
        <v/>
      </c>
      <c r="N23" s="17">
        <f>IF(M23="","",IFERROR(IF(M23&lt;=VLOOKUP(M23,Setup!$A$4:$C$7,3,TRUE),VLOOKUP(M23,Setup!$A$4:$C$7,2,TRUE),"Outside configured ranges"),"Outside configured ranges"))</f>
        <v/>
      </c>
      <c r="O23" s="16">
        <f>IF(OR(B23="",B23&gt;Setup!$I$4),"",Setup!$I$4-B23)</f>
        <v/>
      </c>
      <c r="P23" s="16">
        <f>IF(G23="","",G23-Setup!$I$4)</f>
        <v/>
      </c>
      <c r="Q23" s="27">
        <f>IF(K23="","",IFERROR(VLOOKUP(K23,Setup!$E$4:$F$9,2,FALSE),""))</f>
        <v/>
      </c>
      <c r="R23" s="17">
        <f>IF(A23="","",IF(OR(B23="",C23="",D23="",E23="",F23="",G23="",H23="",I23="",K23=""),"Incomplete",IF(COUNTIF(Setup!$K$4:$K$8,I23)=0,"Invalid status",IF(COUNTIF(Setup!$L$4:$L$8,H23)=0,"Invalid schedule",IF(COUNTIF(Setup!$E$4:$E$9,K23)=0,"Invalid contact outcome",IF(I23&lt;&gt;"Active","Not active",IF(B23&gt;Setup!$I$4,"Future waitlist date",IF(D23&gt;E23,"Invalid age/date",IF(F23&gt;G23,"Invalid window",IF(OR(E23&lt;F23,E23&gt;G23),"Preferred date outside window",IF(G23&lt;Setup!$I$4,"Window expired",IF(OR(M23="",N23="Outside configured ranges"),"Outside age bands","Ready"))))))))))))</f>
        <v/>
      </c>
      <c r="S23" s="27">
        <f>IF(R23&lt;&gt;"Ready","",ROUND(O23*Setup!$I$5+MAX(0,Setup!$I$6-MAX(0,P23))*Setup!$I$7+Q23,1))</f>
        <v/>
      </c>
      <c r="T23" s="16">
        <f>IF(S23="","",1+COUNTIFS($R$2:$R$201,"Ready",$N$2:$N$201,N23,$S$2:$S$201,"&gt;"&amp;S23)+COUNTIFS($R$2:$R$201,"Ready",$N$2:$N$201,N23,$S$2:$S$201,"="&amp;S23,$B$2:$B$201,"&lt;"&amp;B23)+COUNTIFS($R$2:$R$201,"Ready",$N$2:$N$201,N23,$S$2:$S$201,"="&amp;S23,$B$2:$B$201,"="&amp;B23,$A$2:$A$201,"&lt;"&amp;A23))</f>
        <v/>
      </c>
      <c r="U23" s="17">
        <f>IF(A23="","",IF(R23&lt;&gt;"Ready",R23,IF(AND(K23="Not Contacted",J23&lt;&gt;""),"Clear last contact date or update outcome",IF(AND(K23&lt;&gt;"Not Contacted",J23=""),"Add last contact date",IF(AND(J23&lt;&gt;"",J23&gt;Setup!$I$4),"Last contact is after review date",IF(K23="Declined","Align status with declined outcome",IF(AND(L23&lt;&gt;"",L23&gt;G23),"Follow-up is after latest start",IF(AND(L23&lt;&gt;"",L23&lt;Setup!$I$4),"Follow-up overdue",IF(AND(L23&lt;&gt;"",L23&lt;=Setup!$I$4+Setup!$I$9),"Follow-up due soon",IF(AND(J23&lt;&gt;"",Setup!$I$4-J23&gt;Setup!$I$8),"Contact may be stale",""))))))))))</f>
        <v/>
      </c>
    </row>
    <row r="24" ht="22" customHeight="1">
      <c r="A24" s="13" t="n"/>
      <c r="B24" s="14" t="n"/>
      <c r="C24" s="15" t="n"/>
      <c r="D24" s="14" t="n"/>
      <c r="E24" s="14" t="n"/>
      <c r="F24" s="14" t="n"/>
      <c r="G24" s="14" t="n"/>
      <c r="H24" s="15" t="n"/>
      <c r="I24" s="13" t="n"/>
      <c r="J24" s="14" t="n"/>
      <c r="K24" s="15" t="n"/>
      <c r="L24" s="14" t="n"/>
      <c r="M24" s="16">
        <f>IF(OR(D24="",E24=""),"",12*(YEAR(E24)-YEAR(D24))+MONTH(E24)-MONTH(D24)-IF(DAY(E24)&lt;DAY(D24),1,0))</f>
        <v/>
      </c>
      <c r="N24" s="17">
        <f>IF(M24="","",IFERROR(IF(M24&lt;=VLOOKUP(M24,Setup!$A$4:$C$7,3,TRUE),VLOOKUP(M24,Setup!$A$4:$C$7,2,TRUE),"Outside configured ranges"),"Outside configured ranges"))</f>
        <v/>
      </c>
      <c r="O24" s="16">
        <f>IF(OR(B24="",B24&gt;Setup!$I$4),"",Setup!$I$4-B24)</f>
        <v/>
      </c>
      <c r="P24" s="16">
        <f>IF(G24="","",G24-Setup!$I$4)</f>
        <v/>
      </c>
      <c r="Q24" s="27">
        <f>IF(K24="","",IFERROR(VLOOKUP(K24,Setup!$E$4:$F$9,2,FALSE),""))</f>
        <v/>
      </c>
      <c r="R24" s="17">
        <f>IF(A24="","",IF(OR(B24="",C24="",D24="",E24="",F24="",G24="",H24="",I24="",K24=""),"Incomplete",IF(COUNTIF(Setup!$K$4:$K$8,I24)=0,"Invalid status",IF(COUNTIF(Setup!$L$4:$L$8,H24)=0,"Invalid schedule",IF(COUNTIF(Setup!$E$4:$E$9,K24)=0,"Invalid contact outcome",IF(I24&lt;&gt;"Active","Not active",IF(B24&gt;Setup!$I$4,"Future waitlist date",IF(D24&gt;E24,"Invalid age/date",IF(F24&gt;G24,"Invalid window",IF(OR(E24&lt;F24,E24&gt;G24),"Preferred date outside window",IF(G24&lt;Setup!$I$4,"Window expired",IF(OR(M24="",N24="Outside configured ranges"),"Outside age bands","Ready"))))))))))))</f>
        <v/>
      </c>
      <c r="S24" s="27">
        <f>IF(R24&lt;&gt;"Ready","",ROUND(O24*Setup!$I$5+MAX(0,Setup!$I$6-MAX(0,P24))*Setup!$I$7+Q24,1))</f>
        <v/>
      </c>
      <c r="T24" s="16">
        <f>IF(S24="","",1+COUNTIFS($R$2:$R$201,"Ready",$N$2:$N$201,N24,$S$2:$S$201,"&gt;"&amp;S24)+COUNTIFS($R$2:$R$201,"Ready",$N$2:$N$201,N24,$S$2:$S$201,"="&amp;S24,$B$2:$B$201,"&lt;"&amp;B24)+COUNTIFS($R$2:$R$201,"Ready",$N$2:$N$201,N24,$S$2:$S$201,"="&amp;S24,$B$2:$B$201,"="&amp;B24,$A$2:$A$201,"&lt;"&amp;A24))</f>
        <v/>
      </c>
      <c r="U24" s="17">
        <f>IF(A24="","",IF(R24&lt;&gt;"Ready",R24,IF(AND(K24="Not Contacted",J24&lt;&gt;""),"Clear last contact date or update outcome",IF(AND(K24&lt;&gt;"Not Contacted",J24=""),"Add last contact date",IF(AND(J24&lt;&gt;"",J24&gt;Setup!$I$4),"Last contact is after review date",IF(K24="Declined","Align status with declined outcome",IF(AND(L24&lt;&gt;"",L24&gt;G24),"Follow-up is after latest start",IF(AND(L24&lt;&gt;"",L24&lt;Setup!$I$4),"Follow-up overdue",IF(AND(L24&lt;&gt;"",L24&lt;=Setup!$I$4+Setup!$I$9),"Follow-up due soon",IF(AND(J24&lt;&gt;"",Setup!$I$4-J24&gt;Setup!$I$8),"Contact may be stale",""))))))))))</f>
        <v/>
      </c>
    </row>
    <row r="25" ht="22" customHeight="1">
      <c r="A25" s="13" t="n"/>
      <c r="B25" s="14" t="n"/>
      <c r="C25" s="15" t="n"/>
      <c r="D25" s="14" t="n"/>
      <c r="E25" s="14" t="n"/>
      <c r="F25" s="14" t="n"/>
      <c r="G25" s="14" t="n"/>
      <c r="H25" s="15" t="n"/>
      <c r="I25" s="13" t="n"/>
      <c r="J25" s="14" t="n"/>
      <c r="K25" s="15" t="n"/>
      <c r="L25" s="14" t="n"/>
      <c r="M25" s="16">
        <f>IF(OR(D25="",E25=""),"",12*(YEAR(E25)-YEAR(D25))+MONTH(E25)-MONTH(D25)-IF(DAY(E25)&lt;DAY(D25),1,0))</f>
        <v/>
      </c>
      <c r="N25" s="17">
        <f>IF(M25="","",IFERROR(IF(M25&lt;=VLOOKUP(M25,Setup!$A$4:$C$7,3,TRUE),VLOOKUP(M25,Setup!$A$4:$C$7,2,TRUE),"Outside configured ranges"),"Outside configured ranges"))</f>
        <v/>
      </c>
      <c r="O25" s="16">
        <f>IF(OR(B25="",B25&gt;Setup!$I$4),"",Setup!$I$4-B25)</f>
        <v/>
      </c>
      <c r="P25" s="16">
        <f>IF(G25="","",G25-Setup!$I$4)</f>
        <v/>
      </c>
      <c r="Q25" s="27">
        <f>IF(K25="","",IFERROR(VLOOKUP(K25,Setup!$E$4:$F$9,2,FALSE),""))</f>
        <v/>
      </c>
      <c r="R25" s="17">
        <f>IF(A25="","",IF(OR(B25="",C25="",D25="",E25="",F25="",G25="",H25="",I25="",K25=""),"Incomplete",IF(COUNTIF(Setup!$K$4:$K$8,I25)=0,"Invalid status",IF(COUNTIF(Setup!$L$4:$L$8,H25)=0,"Invalid schedule",IF(COUNTIF(Setup!$E$4:$E$9,K25)=0,"Invalid contact outcome",IF(I25&lt;&gt;"Active","Not active",IF(B25&gt;Setup!$I$4,"Future waitlist date",IF(D25&gt;E25,"Invalid age/date",IF(F25&gt;G25,"Invalid window",IF(OR(E25&lt;F25,E25&gt;G25),"Preferred date outside window",IF(G25&lt;Setup!$I$4,"Window expired",IF(OR(M25="",N25="Outside configured ranges"),"Outside age bands","Ready"))))))))))))</f>
        <v/>
      </c>
      <c r="S25" s="27">
        <f>IF(R25&lt;&gt;"Ready","",ROUND(O25*Setup!$I$5+MAX(0,Setup!$I$6-MAX(0,P25))*Setup!$I$7+Q25,1))</f>
        <v/>
      </c>
      <c r="T25" s="16">
        <f>IF(S25="","",1+COUNTIFS($R$2:$R$201,"Ready",$N$2:$N$201,N25,$S$2:$S$201,"&gt;"&amp;S25)+COUNTIFS($R$2:$R$201,"Ready",$N$2:$N$201,N25,$S$2:$S$201,"="&amp;S25,$B$2:$B$201,"&lt;"&amp;B25)+COUNTIFS($R$2:$R$201,"Ready",$N$2:$N$201,N25,$S$2:$S$201,"="&amp;S25,$B$2:$B$201,"="&amp;B25,$A$2:$A$201,"&lt;"&amp;A25))</f>
        <v/>
      </c>
      <c r="U25" s="17">
        <f>IF(A25="","",IF(R25&lt;&gt;"Ready",R25,IF(AND(K25="Not Contacted",J25&lt;&gt;""),"Clear last contact date or update outcome",IF(AND(K25&lt;&gt;"Not Contacted",J25=""),"Add last contact date",IF(AND(J25&lt;&gt;"",J25&gt;Setup!$I$4),"Last contact is after review date",IF(K25="Declined","Align status with declined outcome",IF(AND(L25&lt;&gt;"",L25&gt;G25),"Follow-up is after latest start",IF(AND(L25&lt;&gt;"",L25&lt;Setup!$I$4),"Follow-up overdue",IF(AND(L25&lt;&gt;"",L25&lt;=Setup!$I$4+Setup!$I$9),"Follow-up due soon",IF(AND(J25&lt;&gt;"",Setup!$I$4-J25&gt;Setup!$I$8),"Contact may be stale",""))))))))))</f>
        <v/>
      </c>
    </row>
    <row r="26" ht="22" customHeight="1">
      <c r="A26" s="13" t="n"/>
      <c r="B26" s="14" t="n"/>
      <c r="C26" s="15" t="n"/>
      <c r="D26" s="14" t="n"/>
      <c r="E26" s="14" t="n"/>
      <c r="F26" s="14" t="n"/>
      <c r="G26" s="14" t="n"/>
      <c r="H26" s="15" t="n"/>
      <c r="I26" s="13" t="n"/>
      <c r="J26" s="14" t="n"/>
      <c r="K26" s="15" t="n"/>
      <c r="L26" s="14" t="n"/>
      <c r="M26" s="16">
        <f>IF(OR(D26="",E26=""),"",12*(YEAR(E26)-YEAR(D26))+MONTH(E26)-MONTH(D26)-IF(DAY(E26)&lt;DAY(D26),1,0))</f>
        <v/>
      </c>
      <c r="N26" s="17">
        <f>IF(M26="","",IFERROR(IF(M26&lt;=VLOOKUP(M26,Setup!$A$4:$C$7,3,TRUE),VLOOKUP(M26,Setup!$A$4:$C$7,2,TRUE),"Outside configured ranges"),"Outside configured ranges"))</f>
        <v/>
      </c>
      <c r="O26" s="16">
        <f>IF(OR(B26="",B26&gt;Setup!$I$4),"",Setup!$I$4-B26)</f>
        <v/>
      </c>
      <c r="P26" s="16">
        <f>IF(G26="","",G26-Setup!$I$4)</f>
        <v/>
      </c>
      <c r="Q26" s="27">
        <f>IF(K26="","",IFERROR(VLOOKUP(K26,Setup!$E$4:$F$9,2,FALSE),""))</f>
        <v/>
      </c>
      <c r="R26" s="17">
        <f>IF(A26="","",IF(OR(B26="",C26="",D26="",E26="",F26="",G26="",H26="",I26="",K26=""),"Incomplete",IF(COUNTIF(Setup!$K$4:$K$8,I26)=0,"Invalid status",IF(COUNTIF(Setup!$L$4:$L$8,H26)=0,"Invalid schedule",IF(COUNTIF(Setup!$E$4:$E$9,K26)=0,"Invalid contact outcome",IF(I26&lt;&gt;"Active","Not active",IF(B26&gt;Setup!$I$4,"Future waitlist date",IF(D26&gt;E26,"Invalid age/date",IF(F26&gt;G26,"Invalid window",IF(OR(E26&lt;F26,E26&gt;G26),"Preferred date outside window",IF(G26&lt;Setup!$I$4,"Window expired",IF(OR(M26="",N26="Outside configured ranges"),"Outside age bands","Ready"))))))))))))</f>
        <v/>
      </c>
      <c r="S26" s="27">
        <f>IF(R26&lt;&gt;"Ready","",ROUND(O26*Setup!$I$5+MAX(0,Setup!$I$6-MAX(0,P26))*Setup!$I$7+Q26,1))</f>
        <v/>
      </c>
      <c r="T26" s="16">
        <f>IF(S26="","",1+COUNTIFS($R$2:$R$201,"Ready",$N$2:$N$201,N26,$S$2:$S$201,"&gt;"&amp;S26)+COUNTIFS($R$2:$R$201,"Ready",$N$2:$N$201,N26,$S$2:$S$201,"="&amp;S26,$B$2:$B$201,"&lt;"&amp;B26)+COUNTIFS($R$2:$R$201,"Ready",$N$2:$N$201,N26,$S$2:$S$201,"="&amp;S26,$B$2:$B$201,"="&amp;B26,$A$2:$A$201,"&lt;"&amp;A26))</f>
        <v/>
      </c>
      <c r="U26" s="17">
        <f>IF(A26="","",IF(R26&lt;&gt;"Ready",R26,IF(AND(K26="Not Contacted",J26&lt;&gt;""),"Clear last contact date or update outcome",IF(AND(K26&lt;&gt;"Not Contacted",J26=""),"Add last contact date",IF(AND(J26&lt;&gt;"",J26&gt;Setup!$I$4),"Last contact is after review date",IF(K26="Declined","Align status with declined outcome",IF(AND(L26&lt;&gt;"",L26&gt;G26),"Follow-up is after latest start",IF(AND(L26&lt;&gt;"",L26&lt;Setup!$I$4),"Follow-up overdue",IF(AND(L26&lt;&gt;"",L26&lt;=Setup!$I$4+Setup!$I$9),"Follow-up due soon",IF(AND(J26&lt;&gt;"",Setup!$I$4-J26&gt;Setup!$I$8),"Contact may be stale",""))))))))))</f>
        <v/>
      </c>
    </row>
    <row r="27" ht="22" customHeight="1">
      <c r="A27" s="13" t="n"/>
      <c r="B27" s="14" t="n"/>
      <c r="C27" s="15" t="n"/>
      <c r="D27" s="14" t="n"/>
      <c r="E27" s="14" t="n"/>
      <c r="F27" s="14" t="n"/>
      <c r="G27" s="14" t="n"/>
      <c r="H27" s="15" t="n"/>
      <c r="I27" s="13" t="n"/>
      <c r="J27" s="14" t="n"/>
      <c r="K27" s="15" t="n"/>
      <c r="L27" s="14" t="n"/>
      <c r="M27" s="16">
        <f>IF(OR(D27="",E27=""),"",12*(YEAR(E27)-YEAR(D27))+MONTH(E27)-MONTH(D27)-IF(DAY(E27)&lt;DAY(D27),1,0))</f>
        <v/>
      </c>
      <c r="N27" s="17">
        <f>IF(M27="","",IFERROR(IF(M27&lt;=VLOOKUP(M27,Setup!$A$4:$C$7,3,TRUE),VLOOKUP(M27,Setup!$A$4:$C$7,2,TRUE),"Outside configured ranges"),"Outside configured ranges"))</f>
        <v/>
      </c>
      <c r="O27" s="16">
        <f>IF(OR(B27="",B27&gt;Setup!$I$4),"",Setup!$I$4-B27)</f>
        <v/>
      </c>
      <c r="P27" s="16">
        <f>IF(G27="","",G27-Setup!$I$4)</f>
        <v/>
      </c>
      <c r="Q27" s="27">
        <f>IF(K27="","",IFERROR(VLOOKUP(K27,Setup!$E$4:$F$9,2,FALSE),""))</f>
        <v/>
      </c>
      <c r="R27" s="17">
        <f>IF(A27="","",IF(OR(B27="",C27="",D27="",E27="",F27="",G27="",H27="",I27="",K27=""),"Incomplete",IF(COUNTIF(Setup!$K$4:$K$8,I27)=0,"Invalid status",IF(COUNTIF(Setup!$L$4:$L$8,H27)=0,"Invalid schedule",IF(COUNTIF(Setup!$E$4:$E$9,K27)=0,"Invalid contact outcome",IF(I27&lt;&gt;"Active","Not active",IF(B27&gt;Setup!$I$4,"Future waitlist date",IF(D27&gt;E27,"Invalid age/date",IF(F27&gt;G27,"Invalid window",IF(OR(E27&lt;F27,E27&gt;G27),"Preferred date outside window",IF(G27&lt;Setup!$I$4,"Window expired",IF(OR(M27="",N27="Outside configured ranges"),"Outside age bands","Ready"))))))))))))</f>
        <v/>
      </c>
      <c r="S27" s="27">
        <f>IF(R27&lt;&gt;"Ready","",ROUND(O27*Setup!$I$5+MAX(0,Setup!$I$6-MAX(0,P27))*Setup!$I$7+Q27,1))</f>
        <v/>
      </c>
      <c r="T27" s="16">
        <f>IF(S27="","",1+COUNTIFS($R$2:$R$201,"Ready",$N$2:$N$201,N27,$S$2:$S$201,"&gt;"&amp;S27)+COUNTIFS($R$2:$R$201,"Ready",$N$2:$N$201,N27,$S$2:$S$201,"="&amp;S27,$B$2:$B$201,"&lt;"&amp;B27)+COUNTIFS($R$2:$R$201,"Ready",$N$2:$N$201,N27,$S$2:$S$201,"="&amp;S27,$B$2:$B$201,"="&amp;B27,$A$2:$A$201,"&lt;"&amp;A27))</f>
        <v/>
      </c>
      <c r="U27" s="17">
        <f>IF(A27="","",IF(R27&lt;&gt;"Ready",R27,IF(AND(K27="Not Contacted",J27&lt;&gt;""),"Clear last contact date or update outcome",IF(AND(K27&lt;&gt;"Not Contacted",J27=""),"Add last contact date",IF(AND(J27&lt;&gt;"",J27&gt;Setup!$I$4),"Last contact is after review date",IF(K27="Declined","Align status with declined outcome",IF(AND(L27&lt;&gt;"",L27&gt;G27),"Follow-up is after latest start",IF(AND(L27&lt;&gt;"",L27&lt;Setup!$I$4),"Follow-up overdue",IF(AND(L27&lt;&gt;"",L27&lt;=Setup!$I$4+Setup!$I$9),"Follow-up due soon",IF(AND(J27&lt;&gt;"",Setup!$I$4-J27&gt;Setup!$I$8),"Contact may be stale",""))))))))))</f>
        <v/>
      </c>
    </row>
    <row r="28" ht="22" customHeight="1">
      <c r="A28" s="13" t="n"/>
      <c r="B28" s="14" t="n"/>
      <c r="C28" s="15" t="n"/>
      <c r="D28" s="14" t="n"/>
      <c r="E28" s="14" t="n"/>
      <c r="F28" s="14" t="n"/>
      <c r="G28" s="14" t="n"/>
      <c r="H28" s="15" t="n"/>
      <c r="I28" s="13" t="n"/>
      <c r="J28" s="14" t="n"/>
      <c r="K28" s="15" t="n"/>
      <c r="L28" s="14" t="n"/>
      <c r="M28" s="16">
        <f>IF(OR(D28="",E28=""),"",12*(YEAR(E28)-YEAR(D28))+MONTH(E28)-MONTH(D28)-IF(DAY(E28)&lt;DAY(D28),1,0))</f>
        <v/>
      </c>
      <c r="N28" s="17">
        <f>IF(M28="","",IFERROR(IF(M28&lt;=VLOOKUP(M28,Setup!$A$4:$C$7,3,TRUE),VLOOKUP(M28,Setup!$A$4:$C$7,2,TRUE),"Outside configured ranges"),"Outside configured ranges"))</f>
        <v/>
      </c>
      <c r="O28" s="16">
        <f>IF(OR(B28="",B28&gt;Setup!$I$4),"",Setup!$I$4-B28)</f>
        <v/>
      </c>
      <c r="P28" s="16">
        <f>IF(G28="","",G28-Setup!$I$4)</f>
        <v/>
      </c>
      <c r="Q28" s="27">
        <f>IF(K28="","",IFERROR(VLOOKUP(K28,Setup!$E$4:$F$9,2,FALSE),""))</f>
        <v/>
      </c>
      <c r="R28" s="17">
        <f>IF(A28="","",IF(OR(B28="",C28="",D28="",E28="",F28="",G28="",H28="",I28="",K28=""),"Incomplete",IF(COUNTIF(Setup!$K$4:$K$8,I28)=0,"Invalid status",IF(COUNTIF(Setup!$L$4:$L$8,H28)=0,"Invalid schedule",IF(COUNTIF(Setup!$E$4:$E$9,K28)=0,"Invalid contact outcome",IF(I28&lt;&gt;"Active","Not active",IF(B28&gt;Setup!$I$4,"Future waitlist date",IF(D28&gt;E28,"Invalid age/date",IF(F28&gt;G28,"Invalid window",IF(OR(E28&lt;F28,E28&gt;G28),"Preferred date outside window",IF(G28&lt;Setup!$I$4,"Window expired",IF(OR(M28="",N28="Outside configured ranges"),"Outside age bands","Ready"))))))))))))</f>
        <v/>
      </c>
      <c r="S28" s="27">
        <f>IF(R28&lt;&gt;"Ready","",ROUND(O28*Setup!$I$5+MAX(0,Setup!$I$6-MAX(0,P28))*Setup!$I$7+Q28,1))</f>
        <v/>
      </c>
      <c r="T28" s="16">
        <f>IF(S28="","",1+COUNTIFS($R$2:$R$201,"Ready",$N$2:$N$201,N28,$S$2:$S$201,"&gt;"&amp;S28)+COUNTIFS($R$2:$R$201,"Ready",$N$2:$N$201,N28,$S$2:$S$201,"="&amp;S28,$B$2:$B$201,"&lt;"&amp;B28)+COUNTIFS($R$2:$R$201,"Ready",$N$2:$N$201,N28,$S$2:$S$201,"="&amp;S28,$B$2:$B$201,"="&amp;B28,$A$2:$A$201,"&lt;"&amp;A28))</f>
        <v/>
      </c>
      <c r="U28" s="17">
        <f>IF(A28="","",IF(R28&lt;&gt;"Ready",R28,IF(AND(K28="Not Contacted",J28&lt;&gt;""),"Clear last contact date or update outcome",IF(AND(K28&lt;&gt;"Not Contacted",J28=""),"Add last contact date",IF(AND(J28&lt;&gt;"",J28&gt;Setup!$I$4),"Last contact is after review date",IF(K28="Declined","Align status with declined outcome",IF(AND(L28&lt;&gt;"",L28&gt;G28),"Follow-up is after latest start",IF(AND(L28&lt;&gt;"",L28&lt;Setup!$I$4),"Follow-up overdue",IF(AND(L28&lt;&gt;"",L28&lt;=Setup!$I$4+Setup!$I$9),"Follow-up due soon",IF(AND(J28&lt;&gt;"",Setup!$I$4-J28&gt;Setup!$I$8),"Contact may be stale",""))))))))))</f>
        <v/>
      </c>
    </row>
    <row r="29" ht="22" customHeight="1">
      <c r="A29" s="13" t="n"/>
      <c r="B29" s="14" t="n"/>
      <c r="C29" s="15" t="n"/>
      <c r="D29" s="14" t="n"/>
      <c r="E29" s="14" t="n"/>
      <c r="F29" s="14" t="n"/>
      <c r="G29" s="14" t="n"/>
      <c r="H29" s="15" t="n"/>
      <c r="I29" s="13" t="n"/>
      <c r="J29" s="14" t="n"/>
      <c r="K29" s="15" t="n"/>
      <c r="L29" s="14" t="n"/>
      <c r="M29" s="16">
        <f>IF(OR(D29="",E29=""),"",12*(YEAR(E29)-YEAR(D29))+MONTH(E29)-MONTH(D29)-IF(DAY(E29)&lt;DAY(D29),1,0))</f>
        <v/>
      </c>
      <c r="N29" s="17">
        <f>IF(M29="","",IFERROR(IF(M29&lt;=VLOOKUP(M29,Setup!$A$4:$C$7,3,TRUE),VLOOKUP(M29,Setup!$A$4:$C$7,2,TRUE),"Outside configured ranges"),"Outside configured ranges"))</f>
        <v/>
      </c>
      <c r="O29" s="16">
        <f>IF(OR(B29="",B29&gt;Setup!$I$4),"",Setup!$I$4-B29)</f>
        <v/>
      </c>
      <c r="P29" s="16">
        <f>IF(G29="","",G29-Setup!$I$4)</f>
        <v/>
      </c>
      <c r="Q29" s="27">
        <f>IF(K29="","",IFERROR(VLOOKUP(K29,Setup!$E$4:$F$9,2,FALSE),""))</f>
        <v/>
      </c>
      <c r="R29" s="17">
        <f>IF(A29="","",IF(OR(B29="",C29="",D29="",E29="",F29="",G29="",H29="",I29="",K29=""),"Incomplete",IF(COUNTIF(Setup!$K$4:$K$8,I29)=0,"Invalid status",IF(COUNTIF(Setup!$L$4:$L$8,H29)=0,"Invalid schedule",IF(COUNTIF(Setup!$E$4:$E$9,K29)=0,"Invalid contact outcome",IF(I29&lt;&gt;"Active","Not active",IF(B29&gt;Setup!$I$4,"Future waitlist date",IF(D29&gt;E29,"Invalid age/date",IF(F29&gt;G29,"Invalid window",IF(OR(E29&lt;F29,E29&gt;G29),"Preferred date outside window",IF(G29&lt;Setup!$I$4,"Window expired",IF(OR(M29="",N29="Outside configured ranges"),"Outside age bands","Ready"))))))))))))</f>
        <v/>
      </c>
      <c r="S29" s="27">
        <f>IF(R29&lt;&gt;"Ready","",ROUND(O29*Setup!$I$5+MAX(0,Setup!$I$6-MAX(0,P29))*Setup!$I$7+Q29,1))</f>
        <v/>
      </c>
      <c r="T29" s="16">
        <f>IF(S29="","",1+COUNTIFS($R$2:$R$201,"Ready",$N$2:$N$201,N29,$S$2:$S$201,"&gt;"&amp;S29)+COUNTIFS($R$2:$R$201,"Ready",$N$2:$N$201,N29,$S$2:$S$201,"="&amp;S29,$B$2:$B$201,"&lt;"&amp;B29)+COUNTIFS($R$2:$R$201,"Ready",$N$2:$N$201,N29,$S$2:$S$201,"="&amp;S29,$B$2:$B$201,"="&amp;B29,$A$2:$A$201,"&lt;"&amp;A29))</f>
        <v/>
      </c>
      <c r="U29" s="17">
        <f>IF(A29="","",IF(R29&lt;&gt;"Ready",R29,IF(AND(K29="Not Contacted",J29&lt;&gt;""),"Clear last contact date or update outcome",IF(AND(K29&lt;&gt;"Not Contacted",J29=""),"Add last contact date",IF(AND(J29&lt;&gt;"",J29&gt;Setup!$I$4),"Last contact is after review date",IF(K29="Declined","Align status with declined outcome",IF(AND(L29&lt;&gt;"",L29&gt;G29),"Follow-up is after latest start",IF(AND(L29&lt;&gt;"",L29&lt;Setup!$I$4),"Follow-up overdue",IF(AND(L29&lt;&gt;"",L29&lt;=Setup!$I$4+Setup!$I$9),"Follow-up due soon",IF(AND(J29&lt;&gt;"",Setup!$I$4-J29&gt;Setup!$I$8),"Contact may be stale",""))))))))))</f>
        <v/>
      </c>
    </row>
    <row r="30" ht="22" customHeight="1">
      <c r="A30" s="13" t="n"/>
      <c r="B30" s="14" t="n"/>
      <c r="C30" s="15" t="n"/>
      <c r="D30" s="14" t="n"/>
      <c r="E30" s="14" t="n"/>
      <c r="F30" s="14" t="n"/>
      <c r="G30" s="14" t="n"/>
      <c r="H30" s="15" t="n"/>
      <c r="I30" s="13" t="n"/>
      <c r="J30" s="14" t="n"/>
      <c r="K30" s="15" t="n"/>
      <c r="L30" s="14" t="n"/>
      <c r="M30" s="16">
        <f>IF(OR(D30="",E30=""),"",12*(YEAR(E30)-YEAR(D30))+MONTH(E30)-MONTH(D30)-IF(DAY(E30)&lt;DAY(D30),1,0))</f>
        <v/>
      </c>
      <c r="N30" s="17">
        <f>IF(M30="","",IFERROR(IF(M30&lt;=VLOOKUP(M30,Setup!$A$4:$C$7,3,TRUE),VLOOKUP(M30,Setup!$A$4:$C$7,2,TRUE),"Outside configured ranges"),"Outside configured ranges"))</f>
        <v/>
      </c>
      <c r="O30" s="16">
        <f>IF(OR(B30="",B30&gt;Setup!$I$4),"",Setup!$I$4-B30)</f>
        <v/>
      </c>
      <c r="P30" s="16">
        <f>IF(G30="","",G30-Setup!$I$4)</f>
        <v/>
      </c>
      <c r="Q30" s="27">
        <f>IF(K30="","",IFERROR(VLOOKUP(K30,Setup!$E$4:$F$9,2,FALSE),""))</f>
        <v/>
      </c>
      <c r="R30" s="17">
        <f>IF(A30="","",IF(OR(B30="",C30="",D30="",E30="",F30="",G30="",H30="",I30="",K30=""),"Incomplete",IF(COUNTIF(Setup!$K$4:$K$8,I30)=0,"Invalid status",IF(COUNTIF(Setup!$L$4:$L$8,H30)=0,"Invalid schedule",IF(COUNTIF(Setup!$E$4:$E$9,K30)=0,"Invalid contact outcome",IF(I30&lt;&gt;"Active","Not active",IF(B30&gt;Setup!$I$4,"Future waitlist date",IF(D30&gt;E30,"Invalid age/date",IF(F30&gt;G30,"Invalid window",IF(OR(E30&lt;F30,E30&gt;G30),"Preferred date outside window",IF(G30&lt;Setup!$I$4,"Window expired",IF(OR(M30="",N30="Outside configured ranges"),"Outside age bands","Ready"))))))))))))</f>
        <v/>
      </c>
      <c r="S30" s="27">
        <f>IF(R30&lt;&gt;"Ready","",ROUND(O30*Setup!$I$5+MAX(0,Setup!$I$6-MAX(0,P30))*Setup!$I$7+Q30,1))</f>
        <v/>
      </c>
      <c r="T30" s="16">
        <f>IF(S30="","",1+COUNTIFS($R$2:$R$201,"Ready",$N$2:$N$201,N30,$S$2:$S$201,"&gt;"&amp;S30)+COUNTIFS($R$2:$R$201,"Ready",$N$2:$N$201,N30,$S$2:$S$201,"="&amp;S30,$B$2:$B$201,"&lt;"&amp;B30)+COUNTIFS($R$2:$R$201,"Ready",$N$2:$N$201,N30,$S$2:$S$201,"="&amp;S30,$B$2:$B$201,"="&amp;B30,$A$2:$A$201,"&lt;"&amp;A30))</f>
        <v/>
      </c>
      <c r="U30" s="17">
        <f>IF(A30="","",IF(R30&lt;&gt;"Ready",R30,IF(AND(K30="Not Contacted",J30&lt;&gt;""),"Clear last contact date or update outcome",IF(AND(K30&lt;&gt;"Not Contacted",J30=""),"Add last contact date",IF(AND(J30&lt;&gt;"",J30&gt;Setup!$I$4),"Last contact is after review date",IF(K30="Declined","Align status with declined outcome",IF(AND(L30&lt;&gt;"",L30&gt;G30),"Follow-up is after latest start",IF(AND(L30&lt;&gt;"",L30&lt;Setup!$I$4),"Follow-up overdue",IF(AND(L30&lt;&gt;"",L30&lt;=Setup!$I$4+Setup!$I$9),"Follow-up due soon",IF(AND(J30&lt;&gt;"",Setup!$I$4-J30&gt;Setup!$I$8),"Contact may be stale",""))))))))))</f>
        <v/>
      </c>
    </row>
    <row r="31" ht="22" customHeight="1">
      <c r="A31" s="13" t="n"/>
      <c r="B31" s="14" t="n"/>
      <c r="C31" s="15" t="n"/>
      <c r="D31" s="14" t="n"/>
      <c r="E31" s="14" t="n"/>
      <c r="F31" s="14" t="n"/>
      <c r="G31" s="14" t="n"/>
      <c r="H31" s="15" t="n"/>
      <c r="I31" s="13" t="n"/>
      <c r="J31" s="14" t="n"/>
      <c r="K31" s="15" t="n"/>
      <c r="L31" s="14" t="n"/>
      <c r="M31" s="16">
        <f>IF(OR(D31="",E31=""),"",12*(YEAR(E31)-YEAR(D31))+MONTH(E31)-MONTH(D31)-IF(DAY(E31)&lt;DAY(D31),1,0))</f>
        <v/>
      </c>
      <c r="N31" s="17">
        <f>IF(M31="","",IFERROR(IF(M31&lt;=VLOOKUP(M31,Setup!$A$4:$C$7,3,TRUE),VLOOKUP(M31,Setup!$A$4:$C$7,2,TRUE),"Outside configured ranges"),"Outside configured ranges"))</f>
        <v/>
      </c>
      <c r="O31" s="16">
        <f>IF(OR(B31="",B31&gt;Setup!$I$4),"",Setup!$I$4-B31)</f>
        <v/>
      </c>
      <c r="P31" s="16">
        <f>IF(G31="","",G31-Setup!$I$4)</f>
        <v/>
      </c>
      <c r="Q31" s="27">
        <f>IF(K31="","",IFERROR(VLOOKUP(K31,Setup!$E$4:$F$9,2,FALSE),""))</f>
        <v/>
      </c>
      <c r="R31" s="17">
        <f>IF(A31="","",IF(OR(B31="",C31="",D31="",E31="",F31="",G31="",H31="",I31="",K31=""),"Incomplete",IF(COUNTIF(Setup!$K$4:$K$8,I31)=0,"Invalid status",IF(COUNTIF(Setup!$L$4:$L$8,H31)=0,"Invalid schedule",IF(COUNTIF(Setup!$E$4:$E$9,K31)=0,"Invalid contact outcome",IF(I31&lt;&gt;"Active","Not active",IF(B31&gt;Setup!$I$4,"Future waitlist date",IF(D31&gt;E31,"Invalid age/date",IF(F31&gt;G31,"Invalid window",IF(OR(E31&lt;F31,E31&gt;G31),"Preferred date outside window",IF(G31&lt;Setup!$I$4,"Window expired",IF(OR(M31="",N31="Outside configured ranges"),"Outside age bands","Ready"))))))))))))</f>
        <v/>
      </c>
      <c r="S31" s="27">
        <f>IF(R31&lt;&gt;"Ready","",ROUND(O31*Setup!$I$5+MAX(0,Setup!$I$6-MAX(0,P31))*Setup!$I$7+Q31,1))</f>
        <v/>
      </c>
      <c r="T31" s="16">
        <f>IF(S31="","",1+COUNTIFS($R$2:$R$201,"Ready",$N$2:$N$201,N31,$S$2:$S$201,"&gt;"&amp;S31)+COUNTIFS($R$2:$R$201,"Ready",$N$2:$N$201,N31,$S$2:$S$201,"="&amp;S31,$B$2:$B$201,"&lt;"&amp;B31)+COUNTIFS($R$2:$R$201,"Ready",$N$2:$N$201,N31,$S$2:$S$201,"="&amp;S31,$B$2:$B$201,"="&amp;B31,$A$2:$A$201,"&lt;"&amp;A31))</f>
        <v/>
      </c>
      <c r="U31" s="17">
        <f>IF(A31="","",IF(R31&lt;&gt;"Ready",R31,IF(AND(K31="Not Contacted",J31&lt;&gt;""),"Clear last contact date or update outcome",IF(AND(K31&lt;&gt;"Not Contacted",J31=""),"Add last contact date",IF(AND(J31&lt;&gt;"",J31&gt;Setup!$I$4),"Last contact is after review date",IF(K31="Declined","Align status with declined outcome",IF(AND(L31&lt;&gt;"",L31&gt;G31),"Follow-up is after latest start",IF(AND(L31&lt;&gt;"",L31&lt;Setup!$I$4),"Follow-up overdue",IF(AND(L31&lt;&gt;"",L31&lt;=Setup!$I$4+Setup!$I$9),"Follow-up due soon",IF(AND(J31&lt;&gt;"",Setup!$I$4-J31&gt;Setup!$I$8),"Contact may be stale",""))))))))))</f>
        <v/>
      </c>
    </row>
    <row r="32" ht="22" customHeight="1">
      <c r="A32" s="13" t="n"/>
      <c r="B32" s="14" t="n"/>
      <c r="C32" s="15" t="n"/>
      <c r="D32" s="14" t="n"/>
      <c r="E32" s="14" t="n"/>
      <c r="F32" s="14" t="n"/>
      <c r="G32" s="14" t="n"/>
      <c r="H32" s="15" t="n"/>
      <c r="I32" s="13" t="n"/>
      <c r="J32" s="14" t="n"/>
      <c r="K32" s="15" t="n"/>
      <c r="L32" s="14" t="n"/>
      <c r="M32" s="16">
        <f>IF(OR(D32="",E32=""),"",12*(YEAR(E32)-YEAR(D32))+MONTH(E32)-MONTH(D32)-IF(DAY(E32)&lt;DAY(D32),1,0))</f>
        <v/>
      </c>
      <c r="N32" s="17">
        <f>IF(M32="","",IFERROR(IF(M32&lt;=VLOOKUP(M32,Setup!$A$4:$C$7,3,TRUE),VLOOKUP(M32,Setup!$A$4:$C$7,2,TRUE),"Outside configured ranges"),"Outside configured ranges"))</f>
        <v/>
      </c>
      <c r="O32" s="16">
        <f>IF(OR(B32="",B32&gt;Setup!$I$4),"",Setup!$I$4-B32)</f>
        <v/>
      </c>
      <c r="P32" s="16">
        <f>IF(G32="","",G32-Setup!$I$4)</f>
        <v/>
      </c>
      <c r="Q32" s="27">
        <f>IF(K32="","",IFERROR(VLOOKUP(K32,Setup!$E$4:$F$9,2,FALSE),""))</f>
        <v/>
      </c>
      <c r="R32" s="17">
        <f>IF(A32="","",IF(OR(B32="",C32="",D32="",E32="",F32="",G32="",H32="",I32="",K32=""),"Incomplete",IF(COUNTIF(Setup!$K$4:$K$8,I32)=0,"Invalid status",IF(COUNTIF(Setup!$L$4:$L$8,H32)=0,"Invalid schedule",IF(COUNTIF(Setup!$E$4:$E$9,K32)=0,"Invalid contact outcome",IF(I32&lt;&gt;"Active","Not active",IF(B32&gt;Setup!$I$4,"Future waitlist date",IF(D32&gt;E32,"Invalid age/date",IF(F32&gt;G32,"Invalid window",IF(OR(E32&lt;F32,E32&gt;G32),"Preferred date outside window",IF(G32&lt;Setup!$I$4,"Window expired",IF(OR(M32="",N32="Outside configured ranges"),"Outside age bands","Ready"))))))))))))</f>
        <v/>
      </c>
      <c r="S32" s="27">
        <f>IF(R32&lt;&gt;"Ready","",ROUND(O32*Setup!$I$5+MAX(0,Setup!$I$6-MAX(0,P32))*Setup!$I$7+Q32,1))</f>
        <v/>
      </c>
      <c r="T32" s="16">
        <f>IF(S32="","",1+COUNTIFS($R$2:$R$201,"Ready",$N$2:$N$201,N32,$S$2:$S$201,"&gt;"&amp;S32)+COUNTIFS($R$2:$R$201,"Ready",$N$2:$N$201,N32,$S$2:$S$201,"="&amp;S32,$B$2:$B$201,"&lt;"&amp;B32)+COUNTIFS($R$2:$R$201,"Ready",$N$2:$N$201,N32,$S$2:$S$201,"="&amp;S32,$B$2:$B$201,"="&amp;B32,$A$2:$A$201,"&lt;"&amp;A32))</f>
        <v/>
      </c>
      <c r="U32" s="17">
        <f>IF(A32="","",IF(R32&lt;&gt;"Ready",R32,IF(AND(K32="Not Contacted",J32&lt;&gt;""),"Clear last contact date or update outcome",IF(AND(K32&lt;&gt;"Not Contacted",J32=""),"Add last contact date",IF(AND(J32&lt;&gt;"",J32&gt;Setup!$I$4),"Last contact is after review date",IF(K32="Declined","Align status with declined outcome",IF(AND(L32&lt;&gt;"",L32&gt;G32),"Follow-up is after latest start",IF(AND(L32&lt;&gt;"",L32&lt;Setup!$I$4),"Follow-up overdue",IF(AND(L32&lt;&gt;"",L32&lt;=Setup!$I$4+Setup!$I$9),"Follow-up due soon",IF(AND(J32&lt;&gt;"",Setup!$I$4-J32&gt;Setup!$I$8),"Contact may be stale",""))))))))))</f>
        <v/>
      </c>
    </row>
    <row r="33" ht="22" customHeight="1">
      <c r="A33" s="13" t="n"/>
      <c r="B33" s="14" t="n"/>
      <c r="C33" s="15" t="n"/>
      <c r="D33" s="14" t="n"/>
      <c r="E33" s="14" t="n"/>
      <c r="F33" s="14" t="n"/>
      <c r="G33" s="14" t="n"/>
      <c r="H33" s="15" t="n"/>
      <c r="I33" s="13" t="n"/>
      <c r="J33" s="14" t="n"/>
      <c r="K33" s="15" t="n"/>
      <c r="L33" s="14" t="n"/>
      <c r="M33" s="16">
        <f>IF(OR(D33="",E33=""),"",12*(YEAR(E33)-YEAR(D33))+MONTH(E33)-MONTH(D33)-IF(DAY(E33)&lt;DAY(D33),1,0))</f>
        <v/>
      </c>
      <c r="N33" s="17">
        <f>IF(M33="","",IFERROR(IF(M33&lt;=VLOOKUP(M33,Setup!$A$4:$C$7,3,TRUE),VLOOKUP(M33,Setup!$A$4:$C$7,2,TRUE),"Outside configured ranges"),"Outside configured ranges"))</f>
        <v/>
      </c>
      <c r="O33" s="16">
        <f>IF(OR(B33="",B33&gt;Setup!$I$4),"",Setup!$I$4-B33)</f>
        <v/>
      </c>
      <c r="P33" s="16">
        <f>IF(G33="","",G33-Setup!$I$4)</f>
        <v/>
      </c>
      <c r="Q33" s="27">
        <f>IF(K33="","",IFERROR(VLOOKUP(K33,Setup!$E$4:$F$9,2,FALSE),""))</f>
        <v/>
      </c>
      <c r="R33" s="17">
        <f>IF(A33="","",IF(OR(B33="",C33="",D33="",E33="",F33="",G33="",H33="",I33="",K33=""),"Incomplete",IF(COUNTIF(Setup!$K$4:$K$8,I33)=0,"Invalid status",IF(COUNTIF(Setup!$L$4:$L$8,H33)=0,"Invalid schedule",IF(COUNTIF(Setup!$E$4:$E$9,K33)=0,"Invalid contact outcome",IF(I33&lt;&gt;"Active","Not active",IF(B33&gt;Setup!$I$4,"Future waitlist date",IF(D33&gt;E33,"Invalid age/date",IF(F33&gt;G33,"Invalid window",IF(OR(E33&lt;F33,E33&gt;G33),"Preferred date outside window",IF(G33&lt;Setup!$I$4,"Window expired",IF(OR(M33="",N33="Outside configured ranges"),"Outside age bands","Ready"))))))))))))</f>
        <v/>
      </c>
      <c r="S33" s="27">
        <f>IF(R33&lt;&gt;"Ready","",ROUND(O33*Setup!$I$5+MAX(0,Setup!$I$6-MAX(0,P33))*Setup!$I$7+Q33,1))</f>
        <v/>
      </c>
      <c r="T33" s="16">
        <f>IF(S33="","",1+COUNTIFS($R$2:$R$201,"Ready",$N$2:$N$201,N33,$S$2:$S$201,"&gt;"&amp;S33)+COUNTIFS($R$2:$R$201,"Ready",$N$2:$N$201,N33,$S$2:$S$201,"="&amp;S33,$B$2:$B$201,"&lt;"&amp;B33)+COUNTIFS($R$2:$R$201,"Ready",$N$2:$N$201,N33,$S$2:$S$201,"="&amp;S33,$B$2:$B$201,"="&amp;B33,$A$2:$A$201,"&lt;"&amp;A33))</f>
        <v/>
      </c>
      <c r="U33" s="17">
        <f>IF(A33="","",IF(R33&lt;&gt;"Ready",R33,IF(AND(K33="Not Contacted",J33&lt;&gt;""),"Clear last contact date or update outcome",IF(AND(K33&lt;&gt;"Not Contacted",J33=""),"Add last contact date",IF(AND(J33&lt;&gt;"",J33&gt;Setup!$I$4),"Last contact is after review date",IF(K33="Declined","Align status with declined outcome",IF(AND(L33&lt;&gt;"",L33&gt;G33),"Follow-up is after latest start",IF(AND(L33&lt;&gt;"",L33&lt;Setup!$I$4),"Follow-up overdue",IF(AND(L33&lt;&gt;"",L33&lt;=Setup!$I$4+Setup!$I$9),"Follow-up due soon",IF(AND(J33&lt;&gt;"",Setup!$I$4-J33&gt;Setup!$I$8),"Contact may be stale",""))))))))))</f>
        <v/>
      </c>
    </row>
    <row r="34" ht="22" customHeight="1">
      <c r="A34" s="13" t="n"/>
      <c r="B34" s="14" t="n"/>
      <c r="C34" s="15" t="n"/>
      <c r="D34" s="14" t="n"/>
      <c r="E34" s="14" t="n"/>
      <c r="F34" s="14" t="n"/>
      <c r="G34" s="14" t="n"/>
      <c r="H34" s="15" t="n"/>
      <c r="I34" s="13" t="n"/>
      <c r="J34" s="14" t="n"/>
      <c r="K34" s="15" t="n"/>
      <c r="L34" s="14" t="n"/>
      <c r="M34" s="16">
        <f>IF(OR(D34="",E34=""),"",12*(YEAR(E34)-YEAR(D34))+MONTH(E34)-MONTH(D34)-IF(DAY(E34)&lt;DAY(D34),1,0))</f>
        <v/>
      </c>
      <c r="N34" s="17">
        <f>IF(M34="","",IFERROR(IF(M34&lt;=VLOOKUP(M34,Setup!$A$4:$C$7,3,TRUE),VLOOKUP(M34,Setup!$A$4:$C$7,2,TRUE),"Outside configured ranges"),"Outside configured ranges"))</f>
        <v/>
      </c>
      <c r="O34" s="16">
        <f>IF(OR(B34="",B34&gt;Setup!$I$4),"",Setup!$I$4-B34)</f>
        <v/>
      </c>
      <c r="P34" s="16">
        <f>IF(G34="","",G34-Setup!$I$4)</f>
        <v/>
      </c>
      <c r="Q34" s="27">
        <f>IF(K34="","",IFERROR(VLOOKUP(K34,Setup!$E$4:$F$9,2,FALSE),""))</f>
        <v/>
      </c>
      <c r="R34" s="17">
        <f>IF(A34="","",IF(OR(B34="",C34="",D34="",E34="",F34="",G34="",H34="",I34="",K34=""),"Incomplete",IF(COUNTIF(Setup!$K$4:$K$8,I34)=0,"Invalid status",IF(COUNTIF(Setup!$L$4:$L$8,H34)=0,"Invalid schedule",IF(COUNTIF(Setup!$E$4:$E$9,K34)=0,"Invalid contact outcome",IF(I34&lt;&gt;"Active","Not active",IF(B34&gt;Setup!$I$4,"Future waitlist date",IF(D34&gt;E34,"Invalid age/date",IF(F34&gt;G34,"Invalid window",IF(OR(E34&lt;F34,E34&gt;G34),"Preferred date outside window",IF(G34&lt;Setup!$I$4,"Window expired",IF(OR(M34="",N34="Outside configured ranges"),"Outside age bands","Ready"))))))))))))</f>
        <v/>
      </c>
      <c r="S34" s="27">
        <f>IF(R34&lt;&gt;"Ready","",ROUND(O34*Setup!$I$5+MAX(0,Setup!$I$6-MAX(0,P34))*Setup!$I$7+Q34,1))</f>
        <v/>
      </c>
      <c r="T34" s="16">
        <f>IF(S34="","",1+COUNTIFS($R$2:$R$201,"Ready",$N$2:$N$201,N34,$S$2:$S$201,"&gt;"&amp;S34)+COUNTIFS($R$2:$R$201,"Ready",$N$2:$N$201,N34,$S$2:$S$201,"="&amp;S34,$B$2:$B$201,"&lt;"&amp;B34)+COUNTIFS($R$2:$R$201,"Ready",$N$2:$N$201,N34,$S$2:$S$201,"="&amp;S34,$B$2:$B$201,"="&amp;B34,$A$2:$A$201,"&lt;"&amp;A34))</f>
        <v/>
      </c>
      <c r="U34" s="17">
        <f>IF(A34="","",IF(R34&lt;&gt;"Ready",R34,IF(AND(K34="Not Contacted",J34&lt;&gt;""),"Clear last contact date or update outcome",IF(AND(K34&lt;&gt;"Not Contacted",J34=""),"Add last contact date",IF(AND(J34&lt;&gt;"",J34&gt;Setup!$I$4),"Last contact is after review date",IF(K34="Declined","Align status with declined outcome",IF(AND(L34&lt;&gt;"",L34&gt;G34),"Follow-up is after latest start",IF(AND(L34&lt;&gt;"",L34&lt;Setup!$I$4),"Follow-up overdue",IF(AND(L34&lt;&gt;"",L34&lt;=Setup!$I$4+Setup!$I$9),"Follow-up due soon",IF(AND(J34&lt;&gt;"",Setup!$I$4-J34&gt;Setup!$I$8),"Contact may be stale",""))))))))))</f>
        <v/>
      </c>
    </row>
    <row r="35" ht="22" customHeight="1">
      <c r="A35" s="13" t="n"/>
      <c r="B35" s="14" t="n"/>
      <c r="C35" s="15" t="n"/>
      <c r="D35" s="14" t="n"/>
      <c r="E35" s="14" t="n"/>
      <c r="F35" s="14" t="n"/>
      <c r="G35" s="14" t="n"/>
      <c r="H35" s="15" t="n"/>
      <c r="I35" s="13" t="n"/>
      <c r="J35" s="14" t="n"/>
      <c r="K35" s="15" t="n"/>
      <c r="L35" s="14" t="n"/>
      <c r="M35" s="16">
        <f>IF(OR(D35="",E35=""),"",12*(YEAR(E35)-YEAR(D35))+MONTH(E35)-MONTH(D35)-IF(DAY(E35)&lt;DAY(D35),1,0))</f>
        <v/>
      </c>
      <c r="N35" s="17">
        <f>IF(M35="","",IFERROR(IF(M35&lt;=VLOOKUP(M35,Setup!$A$4:$C$7,3,TRUE),VLOOKUP(M35,Setup!$A$4:$C$7,2,TRUE),"Outside configured ranges"),"Outside configured ranges"))</f>
        <v/>
      </c>
      <c r="O35" s="16">
        <f>IF(OR(B35="",B35&gt;Setup!$I$4),"",Setup!$I$4-B35)</f>
        <v/>
      </c>
      <c r="P35" s="16">
        <f>IF(G35="","",G35-Setup!$I$4)</f>
        <v/>
      </c>
      <c r="Q35" s="27">
        <f>IF(K35="","",IFERROR(VLOOKUP(K35,Setup!$E$4:$F$9,2,FALSE),""))</f>
        <v/>
      </c>
      <c r="R35" s="17">
        <f>IF(A35="","",IF(OR(B35="",C35="",D35="",E35="",F35="",G35="",H35="",I35="",K35=""),"Incomplete",IF(COUNTIF(Setup!$K$4:$K$8,I35)=0,"Invalid status",IF(COUNTIF(Setup!$L$4:$L$8,H35)=0,"Invalid schedule",IF(COUNTIF(Setup!$E$4:$E$9,K35)=0,"Invalid contact outcome",IF(I35&lt;&gt;"Active","Not active",IF(B35&gt;Setup!$I$4,"Future waitlist date",IF(D35&gt;E35,"Invalid age/date",IF(F35&gt;G35,"Invalid window",IF(OR(E35&lt;F35,E35&gt;G35),"Preferred date outside window",IF(G35&lt;Setup!$I$4,"Window expired",IF(OR(M35="",N35="Outside configured ranges"),"Outside age bands","Ready"))))))))))))</f>
        <v/>
      </c>
      <c r="S35" s="27">
        <f>IF(R35&lt;&gt;"Ready","",ROUND(O35*Setup!$I$5+MAX(0,Setup!$I$6-MAX(0,P35))*Setup!$I$7+Q35,1))</f>
        <v/>
      </c>
      <c r="T35" s="16">
        <f>IF(S35="","",1+COUNTIFS($R$2:$R$201,"Ready",$N$2:$N$201,N35,$S$2:$S$201,"&gt;"&amp;S35)+COUNTIFS($R$2:$R$201,"Ready",$N$2:$N$201,N35,$S$2:$S$201,"="&amp;S35,$B$2:$B$201,"&lt;"&amp;B35)+COUNTIFS($R$2:$R$201,"Ready",$N$2:$N$201,N35,$S$2:$S$201,"="&amp;S35,$B$2:$B$201,"="&amp;B35,$A$2:$A$201,"&lt;"&amp;A35))</f>
        <v/>
      </c>
      <c r="U35" s="17">
        <f>IF(A35="","",IF(R35&lt;&gt;"Ready",R35,IF(AND(K35="Not Contacted",J35&lt;&gt;""),"Clear last contact date or update outcome",IF(AND(K35&lt;&gt;"Not Contacted",J35=""),"Add last contact date",IF(AND(J35&lt;&gt;"",J35&gt;Setup!$I$4),"Last contact is after review date",IF(K35="Declined","Align status with declined outcome",IF(AND(L35&lt;&gt;"",L35&gt;G35),"Follow-up is after latest start",IF(AND(L35&lt;&gt;"",L35&lt;Setup!$I$4),"Follow-up overdue",IF(AND(L35&lt;&gt;"",L35&lt;=Setup!$I$4+Setup!$I$9),"Follow-up due soon",IF(AND(J35&lt;&gt;"",Setup!$I$4-J35&gt;Setup!$I$8),"Contact may be stale",""))))))))))</f>
        <v/>
      </c>
    </row>
    <row r="36" ht="22" customHeight="1">
      <c r="A36" s="13" t="n"/>
      <c r="B36" s="14" t="n"/>
      <c r="C36" s="15" t="n"/>
      <c r="D36" s="14" t="n"/>
      <c r="E36" s="14" t="n"/>
      <c r="F36" s="14" t="n"/>
      <c r="G36" s="14" t="n"/>
      <c r="H36" s="15" t="n"/>
      <c r="I36" s="13" t="n"/>
      <c r="J36" s="14" t="n"/>
      <c r="K36" s="15" t="n"/>
      <c r="L36" s="14" t="n"/>
      <c r="M36" s="16">
        <f>IF(OR(D36="",E36=""),"",12*(YEAR(E36)-YEAR(D36))+MONTH(E36)-MONTH(D36)-IF(DAY(E36)&lt;DAY(D36),1,0))</f>
        <v/>
      </c>
      <c r="N36" s="17">
        <f>IF(M36="","",IFERROR(IF(M36&lt;=VLOOKUP(M36,Setup!$A$4:$C$7,3,TRUE),VLOOKUP(M36,Setup!$A$4:$C$7,2,TRUE),"Outside configured ranges"),"Outside configured ranges"))</f>
        <v/>
      </c>
      <c r="O36" s="16">
        <f>IF(OR(B36="",B36&gt;Setup!$I$4),"",Setup!$I$4-B36)</f>
        <v/>
      </c>
      <c r="P36" s="16">
        <f>IF(G36="","",G36-Setup!$I$4)</f>
        <v/>
      </c>
      <c r="Q36" s="27">
        <f>IF(K36="","",IFERROR(VLOOKUP(K36,Setup!$E$4:$F$9,2,FALSE),""))</f>
        <v/>
      </c>
      <c r="R36" s="17">
        <f>IF(A36="","",IF(OR(B36="",C36="",D36="",E36="",F36="",G36="",H36="",I36="",K36=""),"Incomplete",IF(COUNTIF(Setup!$K$4:$K$8,I36)=0,"Invalid status",IF(COUNTIF(Setup!$L$4:$L$8,H36)=0,"Invalid schedule",IF(COUNTIF(Setup!$E$4:$E$9,K36)=0,"Invalid contact outcome",IF(I36&lt;&gt;"Active","Not active",IF(B36&gt;Setup!$I$4,"Future waitlist date",IF(D36&gt;E36,"Invalid age/date",IF(F36&gt;G36,"Invalid window",IF(OR(E36&lt;F36,E36&gt;G36),"Preferred date outside window",IF(G36&lt;Setup!$I$4,"Window expired",IF(OR(M36="",N36="Outside configured ranges"),"Outside age bands","Ready"))))))))))))</f>
        <v/>
      </c>
      <c r="S36" s="27">
        <f>IF(R36&lt;&gt;"Ready","",ROUND(O36*Setup!$I$5+MAX(0,Setup!$I$6-MAX(0,P36))*Setup!$I$7+Q36,1))</f>
        <v/>
      </c>
      <c r="T36" s="16">
        <f>IF(S36="","",1+COUNTIFS($R$2:$R$201,"Ready",$N$2:$N$201,N36,$S$2:$S$201,"&gt;"&amp;S36)+COUNTIFS($R$2:$R$201,"Ready",$N$2:$N$201,N36,$S$2:$S$201,"="&amp;S36,$B$2:$B$201,"&lt;"&amp;B36)+COUNTIFS($R$2:$R$201,"Ready",$N$2:$N$201,N36,$S$2:$S$201,"="&amp;S36,$B$2:$B$201,"="&amp;B36,$A$2:$A$201,"&lt;"&amp;A36))</f>
        <v/>
      </c>
      <c r="U36" s="17">
        <f>IF(A36="","",IF(R36&lt;&gt;"Ready",R36,IF(AND(K36="Not Contacted",J36&lt;&gt;""),"Clear last contact date or update outcome",IF(AND(K36&lt;&gt;"Not Contacted",J36=""),"Add last contact date",IF(AND(J36&lt;&gt;"",J36&gt;Setup!$I$4),"Last contact is after review date",IF(K36="Declined","Align status with declined outcome",IF(AND(L36&lt;&gt;"",L36&gt;G36),"Follow-up is after latest start",IF(AND(L36&lt;&gt;"",L36&lt;Setup!$I$4),"Follow-up overdue",IF(AND(L36&lt;&gt;"",L36&lt;=Setup!$I$4+Setup!$I$9),"Follow-up due soon",IF(AND(J36&lt;&gt;"",Setup!$I$4-J36&gt;Setup!$I$8),"Contact may be stale",""))))))))))</f>
        <v/>
      </c>
    </row>
    <row r="37" ht="22" customHeight="1">
      <c r="A37" s="13" t="n"/>
      <c r="B37" s="14" t="n"/>
      <c r="C37" s="15" t="n"/>
      <c r="D37" s="14" t="n"/>
      <c r="E37" s="14" t="n"/>
      <c r="F37" s="14" t="n"/>
      <c r="G37" s="14" t="n"/>
      <c r="H37" s="15" t="n"/>
      <c r="I37" s="13" t="n"/>
      <c r="J37" s="14" t="n"/>
      <c r="K37" s="15" t="n"/>
      <c r="L37" s="14" t="n"/>
      <c r="M37" s="16">
        <f>IF(OR(D37="",E37=""),"",12*(YEAR(E37)-YEAR(D37))+MONTH(E37)-MONTH(D37)-IF(DAY(E37)&lt;DAY(D37),1,0))</f>
        <v/>
      </c>
      <c r="N37" s="17">
        <f>IF(M37="","",IFERROR(IF(M37&lt;=VLOOKUP(M37,Setup!$A$4:$C$7,3,TRUE),VLOOKUP(M37,Setup!$A$4:$C$7,2,TRUE),"Outside configured ranges"),"Outside configured ranges"))</f>
        <v/>
      </c>
      <c r="O37" s="16">
        <f>IF(OR(B37="",B37&gt;Setup!$I$4),"",Setup!$I$4-B37)</f>
        <v/>
      </c>
      <c r="P37" s="16">
        <f>IF(G37="","",G37-Setup!$I$4)</f>
        <v/>
      </c>
      <c r="Q37" s="27">
        <f>IF(K37="","",IFERROR(VLOOKUP(K37,Setup!$E$4:$F$9,2,FALSE),""))</f>
        <v/>
      </c>
      <c r="R37" s="17">
        <f>IF(A37="","",IF(OR(B37="",C37="",D37="",E37="",F37="",G37="",H37="",I37="",K37=""),"Incomplete",IF(COUNTIF(Setup!$K$4:$K$8,I37)=0,"Invalid status",IF(COUNTIF(Setup!$L$4:$L$8,H37)=0,"Invalid schedule",IF(COUNTIF(Setup!$E$4:$E$9,K37)=0,"Invalid contact outcome",IF(I37&lt;&gt;"Active","Not active",IF(B37&gt;Setup!$I$4,"Future waitlist date",IF(D37&gt;E37,"Invalid age/date",IF(F37&gt;G37,"Invalid window",IF(OR(E37&lt;F37,E37&gt;G37),"Preferred date outside window",IF(G37&lt;Setup!$I$4,"Window expired",IF(OR(M37="",N37="Outside configured ranges"),"Outside age bands","Ready"))))))))))))</f>
        <v/>
      </c>
      <c r="S37" s="27">
        <f>IF(R37&lt;&gt;"Ready","",ROUND(O37*Setup!$I$5+MAX(0,Setup!$I$6-MAX(0,P37))*Setup!$I$7+Q37,1))</f>
        <v/>
      </c>
      <c r="T37" s="16">
        <f>IF(S37="","",1+COUNTIFS($R$2:$R$201,"Ready",$N$2:$N$201,N37,$S$2:$S$201,"&gt;"&amp;S37)+COUNTIFS($R$2:$R$201,"Ready",$N$2:$N$201,N37,$S$2:$S$201,"="&amp;S37,$B$2:$B$201,"&lt;"&amp;B37)+COUNTIFS($R$2:$R$201,"Ready",$N$2:$N$201,N37,$S$2:$S$201,"="&amp;S37,$B$2:$B$201,"="&amp;B37,$A$2:$A$201,"&lt;"&amp;A37))</f>
        <v/>
      </c>
      <c r="U37" s="17">
        <f>IF(A37="","",IF(R37&lt;&gt;"Ready",R37,IF(AND(K37="Not Contacted",J37&lt;&gt;""),"Clear last contact date or update outcome",IF(AND(K37&lt;&gt;"Not Contacted",J37=""),"Add last contact date",IF(AND(J37&lt;&gt;"",J37&gt;Setup!$I$4),"Last contact is after review date",IF(K37="Declined","Align status with declined outcome",IF(AND(L37&lt;&gt;"",L37&gt;G37),"Follow-up is after latest start",IF(AND(L37&lt;&gt;"",L37&lt;Setup!$I$4),"Follow-up overdue",IF(AND(L37&lt;&gt;"",L37&lt;=Setup!$I$4+Setup!$I$9),"Follow-up due soon",IF(AND(J37&lt;&gt;"",Setup!$I$4-J37&gt;Setup!$I$8),"Contact may be stale",""))))))))))</f>
        <v/>
      </c>
    </row>
    <row r="38" ht="22" customHeight="1">
      <c r="A38" s="13" t="n"/>
      <c r="B38" s="14" t="n"/>
      <c r="C38" s="15" t="n"/>
      <c r="D38" s="14" t="n"/>
      <c r="E38" s="14" t="n"/>
      <c r="F38" s="14" t="n"/>
      <c r="G38" s="14" t="n"/>
      <c r="H38" s="15" t="n"/>
      <c r="I38" s="13" t="n"/>
      <c r="J38" s="14" t="n"/>
      <c r="K38" s="15" t="n"/>
      <c r="L38" s="14" t="n"/>
      <c r="M38" s="16">
        <f>IF(OR(D38="",E38=""),"",12*(YEAR(E38)-YEAR(D38))+MONTH(E38)-MONTH(D38)-IF(DAY(E38)&lt;DAY(D38),1,0))</f>
        <v/>
      </c>
      <c r="N38" s="17">
        <f>IF(M38="","",IFERROR(IF(M38&lt;=VLOOKUP(M38,Setup!$A$4:$C$7,3,TRUE),VLOOKUP(M38,Setup!$A$4:$C$7,2,TRUE),"Outside configured ranges"),"Outside configured ranges"))</f>
        <v/>
      </c>
      <c r="O38" s="16">
        <f>IF(OR(B38="",B38&gt;Setup!$I$4),"",Setup!$I$4-B38)</f>
        <v/>
      </c>
      <c r="P38" s="16">
        <f>IF(G38="","",G38-Setup!$I$4)</f>
        <v/>
      </c>
      <c r="Q38" s="27">
        <f>IF(K38="","",IFERROR(VLOOKUP(K38,Setup!$E$4:$F$9,2,FALSE),""))</f>
        <v/>
      </c>
      <c r="R38" s="17">
        <f>IF(A38="","",IF(OR(B38="",C38="",D38="",E38="",F38="",G38="",H38="",I38="",K38=""),"Incomplete",IF(COUNTIF(Setup!$K$4:$K$8,I38)=0,"Invalid status",IF(COUNTIF(Setup!$L$4:$L$8,H38)=0,"Invalid schedule",IF(COUNTIF(Setup!$E$4:$E$9,K38)=0,"Invalid contact outcome",IF(I38&lt;&gt;"Active","Not active",IF(B38&gt;Setup!$I$4,"Future waitlist date",IF(D38&gt;E38,"Invalid age/date",IF(F38&gt;G38,"Invalid window",IF(OR(E38&lt;F38,E38&gt;G38),"Preferred date outside window",IF(G38&lt;Setup!$I$4,"Window expired",IF(OR(M38="",N38="Outside configured ranges"),"Outside age bands","Ready"))))))))))))</f>
        <v/>
      </c>
      <c r="S38" s="27">
        <f>IF(R38&lt;&gt;"Ready","",ROUND(O38*Setup!$I$5+MAX(0,Setup!$I$6-MAX(0,P38))*Setup!$I$7+Q38,1))</f>
        <v/>
      </c>
      <c r="T38" s="16">
        <f>IF(S38="","",1+COUNTIFS($R$2:$R$201,"Ready",$N$2:$N$201,N38,$S$2:$S$201,"&gt;"&amp;S38)+COUNTIFS($R$2:$R$201,"Ready",$N$2:$N$201,N38,$S$2:$S$201,"="&amp;S38,$B$2:$B$201,"&lt;"&amp;B38)+COUNTIFS($R$2:$R$201,"Ready",$N$2:$N$201,N38,$S$2:$S$201,"="&amp;S38,$B$2:$B$201,"="&amp;B38,$A$2:$A$201,"&lt;"&amp;A38))</f>
        <v/>
      </c>
      <c r="U38" s="17">
        <f>IF(A38="","",IF(R38&lt;&gt;"Ready",R38,IF(AND(K38="Not Contacted",J38&lt;&gt;""),"Clear last contact date or update outcome",IF(AND(K38&lt;&gt;"Not Contacted",J38=""),"Add last contact date",IF(AND(J38&lt;&gt;"",J38&gt;Setup!$I$4),"Last contact is after review date",IF(K38="Declined","Align status with declined outcome",IF(AND(L38&lt;&gt;"",L38&gt;G38),"Follow-up is after latest start",IF(AND(L38&lt;&gt;"",L38&lt;Setup!$I$4),"Follow-up overdue",IF(AND(L38&lt;&gt;"",L38&lt;=Setup!$I$4+Setup!$I$9),"Follow-up due soon",IF(AND(J38&lt;&gt;"",Setup!$I$4-J38&gt;Setup!$I$8),"Contact may be stale",""))))))))))</f>
        <v/>
      </c>
    </row>
    <row r="39" ht="22" customHeight="1">
      <c r="A39" s="13" t="n"/>
      <c r="B39" s="14" t="n"/>
      <c r="C39" s="15" t="n"/>
      <c r="D39" s="14" t="n"/>
      <c r="E39" s="14" t="n"/>
      <c r="F39" s="14" t="n"/>
      <c r="G39" s="14" t="n"/>
      <c r="H39" s="15" t="n"/>
      <c r="I39" s="13" t="n"/>
      <c r="J39" s="14" t="n"/>
      <c r="K39" s="15" t="n"/>
      <c r="L39" s="14" t="n"/>
      <c r="M39" s="16">
        <f>IF(OR(D39="",E39=""),"",12*(YEAR(E39)-YEAR(D39))+MONTH(E39)-MONTH(D39)-IF(DAY(E39)&lt;DAY(D39),1,0))</f>
        <v/>
      </c>
      <c r="N39" s="17">
        <f>IF(M39="","",IFERROR(IF(M39&lt;=VLOOKUP(M39,Setup!$A$4:$C$7,3,TRUE),VLOOKUP(M39,Setup!$A$4:$C$7,2,TRUE),"Outside configured ranges"),"Outside configured ranges"))</f>
        <v/>
      </c>
      <c r="O39" s="16">
        <f>IF(OR(B39="",B39&gt;Setup!$I$4),"",Setup!$I$4-B39)</f>
        <v/>
      </c>
      <c r="P39" s="16">
        <f>IF(G39="","",G39-Setup!$I$4)</f>
        <v/>
      </c>
      <c r="Q39" s="27">
        <f>IF(K39="","",IFERROR(VLOOKUP(K39,Setup!$E$4:$F$9,2,FALSE),""))</f>
        <v/>
      </c>
      <c r="R39" s="17">
        <f>IF(A39="","",IF(OR(B39="",C39="",D39="",E39="",F39="",G39="",H39="",I39="",K39=""),"Incomplete",IF(COUNTIF(Setup!$K$4:$K$8,I39)=0,"Invalid status",IF(COUNTIF(Setup!$L$4:$L$8,H39)=0,"Invalid schedule",IF(COUNTIF(Setup!$E$4:$E$9,K39)=0,"Invalid contact outcome",IF(I39&lt;&gt;"Active","Not active",IF(B39&gt;Setup!$I$4,"Future waitlist date",IF(D39&gt;E39,"Invalid age/date",IF(F39&gt;G39,"Invalid window",IF(OR(E39&lt;F39,E39&gt;G39),"Preferred date outside window",IF(G39&lt;Setup!$I$4,"Window expired",IF(OR(M39="",N39="Outside configured ranges"),"Outside age bands","Ready"))))))))))))</f>
        <v/>
      </c>
      <c r="S39" s="27">
        <f>IF(R39&lt;&gt;"Ready","",ROUND(O39*Setup!$I$5+MAX(0,Setup!$I$6-MAX(0,P39))*Setup!$I$7+Q39,1))</f>
        <v/>
      </c>
      <c r="T39" s="16">
        <f>IF(S39="","",1+COUNTIFS($R$2:$R$201,"Ready",$N$2:$N$201,N39,$S$2:$S$201,"&gt;"&amp;S39)+COUNTIFS($R$2:$R$201,"Ready",$N$2:$N$201,N39,$S$2:$S$201,"="&amp;S39,$B$2:$B$201,"&lt;"&amp;B39)+COUNTIFS($R$2:$R$201,"Ready",$N$2:$N$201,N39,$S$2:$S$201,"="&amp;S39,$B$2:$B$201,"="&amp;B39,$A$2:$A$201,"&lt;"&amp;A39))</f>
        <v/>
      </c>
      <c r="U39" s="17">
        <f>IF(A39="","",IF(R39&lt;&gt;"Ready",R39,IF(AND(K39="Not Contacted",J39&lt;&gt;""),"Clear last contact date or update outcome",IF(AND(K39&lt;&gt;"Not Contacted",J39=""),"Add last contact date",IF(AND(J39&lt;&gt;"",J39&gt;Setup!$I$4),"Last contact is after review date",IF(K39="Declined","Align status with declined outcome",IF(AND(L39&lt;&gt;"",L39&gt;G39),"Follow-up is after latest start",IF(AND(L39&lt;&gt;"",L39&lt;Setup!$I$4),"Follow-up overdue",IF(AND(L39&lt;&gt;"",L39&lt;=Setup!$I$4+Setup!$I$9),"Follow-up due soon",IF(AND(J39&lt;&gt;"",Setup!$I$4-J39&gt;Setup!$I$8),"Contact may be stale",""))))))))))</f>
        <v/>
      </c>
    </row>
    <row r="40" ht="22" customHeight="1">
      <c r="A40" s="13" t="n"/>
      <c r="B40" s="14" t="n"/>
      <c r="C40" s="15" t="n"/>
      <c r="D40" s="14" t="n"/>
      <c r="E40" s="14" t="n"/>
      <c r="F40" s="14" t="n"/>
      <c r="G40" s="14" t="n"/>
      <c r="H40" s="15" t="n"/>
      <c r="I40" s="13" t="n"/>
      <c r="J40" s="14" t="n"/>
      <c r="K40" s="15" t="n"/>
      <c r="L40" s="14" t="n"/>
      <c r="M40" s="16">
        <f>IF(OR(D40="",E40=""),"",12*(YEAR(E40)-YEAR(D40))+MONTH(E40)-MONTH(D40)-IF(DAY(E40)&lt;DAY(D40),1,0))</f>
        <v/>
      </c>
      <c r="N40" s="17">
        <f>IF(M40="","",IFERROR(IF(M40&lt;=VLOOKUP(M40,Setup!$A$4:$C$7,3,TRUE),VLOOKUP(M40,Setup!$A$4:$C$7,2,TRUE),"Outside configured ranges"),"Outside configured ranges"))</f>
        <v/>
      </c>
      <c r="O40" s="16">
        <f>IF(OR(B40="",B40&gt;Setup!$I$4),"",Setup!$I$4-B40)</f>
        <v/>
      </c>
      <c r="P40" s="16">
        <f>IF(G40="","",G40-Setup!$I$4)</f>
        <v/>
      </c>
      <c r="Q40" s="27">
        <f>IF(K40="","",IFERROR(VLOOKUP(K40,Setup!$E$4:$F$9,2,FALSE),""))</f>
        <v/>
      </c>
      <c r="R40" s="17">
        <f>IF(A40="","",IF(OR(B40="",C40="",D40="",E40="",F40="",G40="",H40="",I40="",K40=""),"Incomplete",IF(COUNTIF(Setup!$K$4:$K$8,I40)=0,"Invalid status",IF(COUNTIF(Setup!$L$4:$L$8,H40)=0,"Invalid schedule",IF(COUNTIF(Setup!$E$4:$E$9,K40)=0,"Invalid contact outcome",IF(I40&lt;&gt;"Active","Not active",IF(B40&gt;Setup!$I$4,"Future waitlist date",IF(D40&gt;E40,"Invalid age/date",IF(F40&gt;G40,"Invalid window",IF(OR(E40&lt;F40,E40&gt;G40),"Preferred date outside window",IF(G40&lt;Setup!$I$4,"Window expired",IF(OR(M40="",N40="Outside configured ranges"),"Outside age bands","Ready"))))))))))))</f>
        <v/>
      </c>
      <c r="S40" s="27">
        <f>IF(R40&lt;&gt;"Ready","",ROUND(O40*Setup!$I$5+MAX(0,Setup!$I$6-MAX(0,P40))*Setup!$I$7+Q40,1))</f>
        <v/>
      </c>
      <c r="T40" s="16">
        <f>IF(S40="","",1+COUNTIFS($R$2:$R$201,"Ready",$N$2:$N$201,N40,$S$2:$S$201,"&gt;"&amp;S40)+COUNTIFS($R$2:$R$201,"Ready",$N$2:$N$201,N40,$S$2:$S$201,"="&amp;S40,$B$2:$B$201,"&lt;"&amp;B40)+COUNTIFS($R$2:$R$201,"Ready",$N$2:$N$201,N40,$S$2:$S$201,"="&amp;S40,$B$2:$B$201,"="&amp;B40,$A$2:$A$201,"&lt;"&amp;A40))</f>
        <v/>
      </c>
      <c r="U40" s="17">
        <f>IF(A40="","",IF(R40&lt;&gt;"Ready",R40,IF(AND(K40="Not Contacted",J40&lt;&gt;""),"Clear last contact date or update outcome",IF(AND(K40&lt;&gt;"Not Contacted",J40=""),"Add last contact date",IF(AND(J40&lt;&gt;"",J40&gt;Setup!$I$4),"Last contact is after review date",IF(K40="Declined","Align status with declined outcome",IF(AND(L40&lt;&gt;"",L40&gt;G40),"Follow-up is after latest start",IF(AND(L40&lt;&gt;"",L40&lt;Setup!$I$4),"Follow-up overdue",IF(AND(L40&lt;&gt;"",L40&lt;=Setup!$I$4+Setup!$I$9),"Follow-up due soon",IF(AND(J40&lt;&gt;"",Setup!$I$4-J40&gt;Setup!$I$8),"Contact may be stale",""))))))))))</f>
        <v/>
      </c>
    </row>
    <row r="41" ht="22" customHeight="1">
      <c r="A41" s="13" t="n"/>
      <c r="B41" s="14" t="n"/>
      <c r="C41" s="15" t="n"/>
      <c r="D41" s="14" t="n"/>
      <c r="E41" s="14" t="n"/>
      <c r="F41" s="14" t="n"/>
      <c r="G41" s="14" t="n"/>
      <c r="H41" s="15" t="n"/>
      <c r="I41" s="13" t="n"/>
      <c r="J41" s="14" t="n"/>
      <c r="K41" s="15" t="n"/>
      <c r="L41" s="14" t="n"/>
      <c r="M41" s="16">
        <f>IF(OR(D41="",E41=""),"",12*(YEAR(E41)-YEAR(D41))+MONTH(E41)-MONTH(D41)-IF(DAY(E41)&lt;DAY(D41),1,0))</f>
        <v/>
      </c>
      <c r="N41" s="17">
        <f>IF(M41="","",IFERROR(IF(M41&lt;=VLOOKUP(M41,Setup!$A$4:$C$7,3,TRUE),VLOOKUP(M41,Setup!$A$4:$C$7,2,TRUE),"Outside configured ranges"),"Outside configured ranges"))</f>
        <v/>
      </c>
      <c r="O41" s="16">
        <f>IF(OR(B41="",B41&gt;Setup!$I$4),"",Setup!$I$4-B41)</f>
        <v/>
      </c>
      <c r="P41" s="16">
        <f>IF(G41="","",G41-Setup!$I$4)</f>
        <v/>
      </c>
      <c r="Q41" s="27">
        <f>IF(K41="","",IFERROR(VLOOKUP(K41,Setup!$E$4:$F$9,2,FALSE),""))</f>
        <v/>
      </c>
      <c r="R41" s="17">
        <f>IF(A41="","",IF(OR(B41="",C41="",D41="",E41="",F41="",G41="",H41="",I41="",K41=""),"Incomplete",IF(COUNTIF(Setup!$K$4:$K$8,I41)=0,"Invalid status",IF(COUNTIF(Setup!$L$4:$L$8,H41)=0,"Invalid schedule",IF(COUNTIF(Setup!$E$4:$E$9,K41)=0,"Invalid contact outcome",IF(I41&lt;&gt;"Active","Not active",IF(B41&gt;Setup!$I$4,"Future waitlist date",IF(D41&gt;E41,"Invalid age/date",IF(F41&gt;G41,"Invalid window",IF(OR(E41&lt;F41,E41&gt;G41),"Preferred date outside window",IF(G41&lt;Setup!$I$4,"Window expired",IF(OR(M41="",N41="Outside configured ranges"),"Outside age bands","Ready"))))))))))))</f>
        <v/>
      </c>
      <c r="S41" s="27">
        <f>IF(R41&lt;&gt;"Ready","",ROUND(O41*Setup!$I$5+MAX(0,Setup!$I$6-MAX(0,P41))*Setup!$I$7+Q41,1))</f>
        <v/>
      </c>
      <c r="T41" s="16">
        <f>IF(S41="","",1+COUNTIFS($R$2:$R$201,"Ready",$N$2:$N$201,N41,$S$2:$S$201,"&gt;"&amp;S41)+COUNTIFS($R$2:$R$201,"Ready",$N$2:$N$201,N41,$S$2:$S$201,"="&amp;S41,$B$2:$B$201,"&lt;"&amp;B41)+COUNTIFS($R$2:$R$201,"Ready",$N$2:$N$201,N41,$S$2:$S$201,"="&amp;S41,$B$2:$B$201,"="&amp;B41,$A$2:$A$201,"&lt;"&amp;A41))</f>
        <v/>
      </c>
      <c r="U41" s="17">
        <f>IF(A41="","",IF(R41&lt;&gt;"Ready",R41,IF(AND(K41="Not Contacted",J41&lt;&gt;""),"Clear last contact date or update outcome",IF(AND(K41&lt;&gt;"Not Contacted",J41=""),"Add last contact date",IF(AND(J41&lt;&gt;"",J41&gt;Setup!$I$4),"Last contact is after review date",IF(K41="Declined","Align status with declined outcome",IF(AND(L41&lt;&gt;"",L41&gt;G41),"Follow-up is after latest start",IF(AND(L41&lt;&gt;"",L41&lt;Setup!$I$4),"Follow-up overdue",IF(AND(L41&lt;&gt;"",L41&lt;=Setup!$I$4+Setup!$I$9),"Follow-up due soon",IF(AND(J41&lt;&gt;"",Setup!$I$4-J41&gt;Setup!$I$8),"Contact may be stale",""))))))))))</f>
        <v/>
      </c>
    </row>
    <row r="42" ht="22" customHeight="1">
      <c r="A42" s="13" t="n"/>
      <c r="B42" s="14" t="n"/>
      <c r="C42" s="15" t="n"/>
      <c r="D42" s="14" t="n"/>
      <c r="E42" s="14" t="n"/>
      <c r="F42" s="14" t="n"/>
      <c r="G42" s="14" t="n"/>
      <c r="H42" s="15" t="n"/>
      <c r="I42" s="13" t="n"/>
      <c r="J42" s="14" t="n"/>
      <c r="K42" s="15" t="n"/>
      <c r="L42" s="14" t="n"/>
      <c r="M42" s="16">
        <f>IF(OR(D42="",E42=""),"",12*(YEAR(E42)-YEAR(D42))+MONTH(E42)-MONTH(D42)-IF(DAY(E42)&lt;DAY(D42),1,0))</f>
        <v/>
      </c>
      <c r="N42" s="17">
        <f>IF(M42="","",IFERROR(IF(M42&lt;=VLOOKUP(M42,Setup!$A$4:$C$7,3,TRUE),VLOOKUP(M42,Setup!$A$4:$C$7,2,TRUE),"Outside configured ranges"),"Outside configured ranges"))</f>
        <v/>
      </c>
      <c r="O42" s="16">
        <f>IF(OR(B42="",B42&gt;Setup!$I$4),"",Setup!$I$4-B42)</f>
        <v/>
      </c>
      <c r="P42" s="16">
        <f>IF(G42="","",G42-Setup!$I$4)</f>
        <v/>
      </c>
      <c r="Q42" s="27">
        <f>IF(K42="","",IFERROR(VLOOKUP(K42,Setup!$E$4:$F$9,2,FALSE),""))</f>
        <v/>
      </c>
      <c r="R42" s="17">
        <f>IF(A42="","",IF(OR(B42="",C42="",D42="",E42="",F42="",G42="",H42="",I42="",K42=""),"Incomplete",IF(COUNTIF(Setup!$K$4:$K$8,I42)=0,"Invalid status",IF(COUNTIF(Setup!$L$4:$L$8,H42)=0,"Invalid schedule",IF(COUNTIF(Setup!$E$4:$E$9,K42)=0,"Invalid contact outcome",IF(I42&lt;&gt;"Active","Not active",IF(B42&gt;Setup!$I$4,"Future waitlist date",IF(D42&gt;E42,"Invalid age/date",IF(F42&gt;G42,"Invalid window",IF(OR(E42&lt;F42,E42&gt;G42),"Preferred date outside window",IF(G42&lt;Setup!$I$4,"Window expired",IF(OR(M42="",N42="Outside configured ranges"),"Outside age bands","Ready"))))))))))))</f>
        <v/>
      </c>
      <c r="S42" s="27">
        <f>IF(R42&lt;&gt;"Ready","",ROUND(O42*Setup!$I$5+MAX(0,Setup!$I$6-MAX(0,P42))*Setup!$I$7+Q42,1))</f>
        <v/>
      </c>
      <c r="T42" s="16">
        <f>IF(S42="","",1+COUNTIFS($R$2:$R$201,"Ready",$N$2:$N$201,N42,$S$2:$S$201,"&gt;"&amp;S42)+COUNTIFS($R$2:$R$201,"Ready",$N$2:$N$201,N42,$S$2:$S$201,"="&amp;S42,$B$2:$B$201,"&lt;"&amp;B42)+COUNTIFS($R$2:$R$201,"Ready",$N$2:$N$201,N42,$S$2:$S$201,"="&amp;S42,$B$2:$B$201,"="&amp;B42,$A$2:$A$201,"&lt;"&amp;A42))</f>
        <v/>
      </c>
      <c r="U42" s="17">
        <f>IF(A42="","",IF(R42&lt;&gt;"Ready",R42,IF(AND(K42="Not Contacted",J42&lt;&gt;""),"Clear last contact date or update outcome",IF(AND(K42&lt;&gt;"Not Contacted",J42=""),"Add last contact date",IF(AND(J42&lt;&gt;"",J42&gt;Setup!$I$4),"Last contact is after review date",IF(K42="Declined","Align status with declined outcome",IF(AND(L42&lt;&gt;"",L42&gt;G42),"Follow-up is after latest start",IF(AND(L42&lt;&gt;"",L42&lt;Setup!$I$4),"Follow-up overdue",IF(AND(L42&lt;&gt;"",L42&lt;=Setup!$I$4+Setup!$I$9),"Follow-up due soon",IF(AND(J42&lt;&gt;"",Setup!$I$4-J42&gt;Setup!$I$8),"Contact may be stale",""))))))))))</f>
        <v/>
      </c>
    </row>
    <row r="43" ht="22" customHeight="1">
      <c r="A43" s="13" t="n"/>
      <c r="B43" s="14" t="n"/>
      <c r="C43" s="15" t="n"/>
      <c r="D43" s="14" t="n"/>
      <c r="E43" s="14" t="n"/>
      <c r="F43" s="14" t="n"/>
      <c r="G43" s="14" t="n"/>
      <c r="H43" s="15" t="n"/>
      <c r="I43" s="13" t="n"/>
      <c r="J43" s="14" t="n"/>
      <c r="K43" s="15" t="n"/>
      <c r="L43" s="14" t="n"/>
      <c r="M43" s="16">
        <f>IF(OR(D43="",E43=""),"",12*(YEAR(E43)-YEAR(D43))+MONTH(E43)-MONTH(D43)-IF(DAY(E43)&lt;DAY(D43),1,0))</f>
        <v/>
      </c>
      <c r="N43" s="17">
        <f>IF(M43="","",IFERROR(IF(M43&lt;=VLOOKUP(M43,Setup!$A$4:$C$7,3,TRUE),VLOOKUP(M43,Setup!$A$4:$C$7,2,TRUE),"Outside configured ranges"),"Outside configured ranges"))</f>
        <v/>
      </c>
      <c r="O43" s="16">
        <f>IF(OR(B43="",B43&gt;Setup!$I$4),"",Setup!$I$4-B43)</f>
        <v/>
      </c>
      <c r="P43" s="16">
        <f>IF(G43="","",G43-Setup!$I$4)</f>
        <v/>
      </c>
      <c r="Q43" s="27">
        <f>IF(K43="","",IFERROR(VLOOKUP(K43,Setup!$E$4:$F$9,2,FALSE),""))</f>
        <v/>
      </c>
      <c r="R43" s="17">
        <f>IF(A43="","",IF(OR(B43="",C43="",D43="",E43="",F43="",G43="",H43="",I43="",K43=""),"Incomplete",IF(COUNTIF(Setup!$K$4:$K$8,I43)=0,"Invalid status",IF(COUNTIF(Setup!$L$4:$L$8,H43)=0,"Invalid schedule",IF(COUNTIF(Setup!$E$4:$E$9,K43)=0,"Invalid contact outcome",IF(I43&lt;&gt;"Active","Not active",IF(B43&gt;Setup!$I$4,"Future waitlist date",IF(D43&gt;E43,"Invalid age/date",IF(F43&gt;G43,"Invalid window",IF(OR(E43&lt;F43,E43&gt;G43),"Preferred date outside window",IF(G43&lt;Setup!$I$4,"Window expired",IF(OR(M43="",N43="Outside configured ranges"),"Outside age bands","Ready"))))))))))))</f>
        <v/>
      </c>
      <c r="S43" s="27">
        <f>IF(R43&lt;&gt;"Ready","",ROUND(O43*Setup!$I$5+MAX(0,Setup!$I$6-MAX(0,P43))*Setup!$I$7+Q43,1))</f>
        <v/>
      </c>
      <c r="T43" s="16">
        <f>IF(S43="","",1+COUNTIFS($R$2:$R$201,"Ready",$N$2:$N$201,N43,$S$2:$S$201,"&gt;"&amp;S43)+COUNTIFS($R$2:$R$201,"Ready",$N$2:$N$201,N43,$S$2:$S$201,"="&amp;S43,$B$2:$B$201,"&lt;"&amp;B43)+COUNTIFS($R$2:$R$201,"Ready",$N$2:$N$201,N43,$S$2:$S$201,"="&amp;S43,$B$2:$B$201,"="&amp;B43,$A$2:$A$201,"&lt;"&amp;A43))</f>
        <v/>
      </c>
      <c r="U43" s="17">
        <f>IF(A43="","",IF(R43&lt;&gt;"Ready",R43,IF(AND(K43="Not Contacted",J43&lt;&gt;""),"Clear last contact date or update outcome",IF(AND(K43&lt;&gt;"Not Contacted",J43=""),"Add last contact date",IF(AND(J43&lt;&gt;"",J43&gt;Setup!$I$4),"Last contact is after review date",IF(K43="Declined","Align status with declined outcome",IF(AND(L43&lt;&gt;"",L43&gt;G43),"Follow-up is after latest start",IF(AND(L43&lt;&gt;"",L43&lt;Setup!$I$4),"Follow-up overdue",IF(AND(L43&lt;&gt;"",L43&lt;=Setup!$I$4+Setup!$I$9),"Follow-up due soon",IF(AND(J43&lt;&gt;"",Setup!$I$4-J43&gt;Setup!$I$8),"Contact may be stale",""))))))))))</f>
        <v/>
      </c>
    </row>
    <row r="44" ht="22" customHeight="1">
      <c r="A44" s="13" t="n"/>
      <c r="B44" s="14" t="n"/>
      <c r="C44" s="15" t="n"/>
      <c r="D44" s="14" t="n"/>
      <c r="E44" s="14" t="n"/>
      <c r="F44" s="14" t="n"/>
      <c r="G44" s="14" t="n"/>
      <c r="H44" s="15" t="n"/>
      <c r="I44" s="13" t="n"/>
      <c r="J44" s="14" t="n"/>
      <c r="K44" s="15" t="n"/>
      <c r="L44" s="14" t="n"/>
      <c r="M44" s="16">
        <f>IF(OR(D44="",E44=""),"",12*(YEAR(E44)-YEAR(D44))+MONTH(E44)-MONTH(D44)-IF(DAY(E44)&lt;DAY(D44),1,0))</f>
        <v/>
      </c>
      <c r="N44" s="17">
        <f>IF(M44="","",IFERROR(IF(M44&lt;=VLOOKUP(M44,Setup!$A$4:$C$7,3,TRUE),VLOOKUP(M44,Setup!$A$4:$C$7,2,TRUE),"Outside configured ranges"),"Outside configured ranges"))</f>
        <v/>
      </c>
      <c r="O44" s="16">
        <f>IF(OR(B44="",B44&gt;Setup!$I$4),"",Setup!$I$4-B44)</f>
        <v/>
      </c>
      <c r="P44" s="16">
        <f>IF(G44="","",G44-Setup!$I$4)</f>
        <v/>
      </c>
      <c r="Q44" s="27">
        <f>IF(K44="","",IFERROR(VLOOKUP(K44,Setup!$E$4:$F$9,2,FALSE),""))</f>
        <v/>
      </c>
      <c r="R44" s="17">
        <f>IF(A44="","",IF(OR(B44="",C44="",D44="",E44="",F44="",G44="",H44="",I44="",K44=""),"Incomplete",IF(COUNTIF(Setup!$K$4:$K$8,I44)=0,"Invalid status",IF(COUNTIF(Setup!$L$4:$L$8,H44)=0,"Invalid schedule",IF(COUNTIF(Setup!$E$4:$E$9,K44)=0,"Invalid contact outcome",IF(I44&lt;&gt;"Active","Not active",IF(B44&gt;Setup!$I$4,"Future waitlist date",IF(D44&gt;E44,"Invalid age/date",IF(F44&gt;G44,"Invalid window",IF(OR(E44&lt;F44,E44&gt;G44),"Preferred date outside window",IF(G44&lt;Setup!$I$4,"Window expired",IF(OR(M44="",N44="Outside configured ranges"),"Outside age bands","Ready"))))))))))))</f>
        <v/>
      </c>
      <c r="S44" s="27">
        <f>IF(R44&lt;&gt;"Ready","",ROUND(O44*Setup!$I$5+MAX(0,Setup!$I$6-MAX(0,P44))*Setup!$I$7+Q44,1))</f>
        <v/>
      </c>
      <c r="T44" s="16">
        <f>IF(S44="","",1+COUNTIFS($R$2:$R$201,"Ready",$N$2:$N$201,N44,$S$2:$S$201,"&gt;"&amp;S44)+COUNTIFS($R$2:$R$201,"Ready",$N$2:$N$201,N44,$S$2:$S$201,"="&amp;S44,$B$2:$B$201,"&lt;"&amp;B44)+COUNTIFS($R$2:$R$201,"Ready",$N$2:$N$201,N44,$S$2:$S$201,"="&amp;S44,$B$2:$B$201,"="&amp;B44,$A$2:$A$201,"&lt;"&amp;A44))</f>
        <v/>
      </c>
      <c r="U44" s="17">
        <f>IF(A44="","",IF(R44&lt;&gt;"Ready",R44,IF(AND(K44="Not Contacted",J44&lt;&gt;""),"Clear last contact date or update outcome",IF(AND(K44&lt;&gt;"Not Contacted",J44=""),"Add last contact date",IF(AND(J44&lt;&gt;"",J44&gt;Setup!$I$4),"Last contact is after review date",IF(K44="Declined","Align status with declined outcome",IF(AND(L44&lt;&gt;"",L44&gt;G44),"Follow-up is after latest start",IF(AND(L44&lt;&gt;"",L44&lt;Setup!$I$4),"Follow-up overdue",IF(AND(L44&lt;&gt;"",L44&lt;=Setup!$I$4+Setup!$I$9),"Follow-up due soon",IF(AND(J44&lt;&gt;"",Setup!$I$4-J44&gt;Setup!$I$8),"Contact may be stale",""))))))))))</f>
        <v/>
      </c>
    </row>
    <row r="45" ht="22" customHeight="1">
      <c r="A45" s="13" t="n"/>
      <c r="B45" s="14" t="n"/>
      <c r="C45" s="15" t="n"/>
      <c r="D45" s="14" t="n"/>
      <c r="E45" s="14" t="n"/>
      <c r="F45" s="14" t="n"/>
      <c r="G45" s="14" t="n"/>
      <c r="H45" s="15" t="n"/>
      <c r="I45" s="13" t="n"/>
      <c r="J45" s="14" t="n"/>
      <c r="K45" s="15" t="n"/>
      <c r="L45" s="14" t="n"/>
      <c r="M45" s="16">
        <f>IF(OR(D45="",E45=""),"",12*(YEAR(E45)-YEAR(D45))+MONTH(E45)-MONTH(D45)-IF(DAY(E45)&lt;DAY(D45),1,0))</f>
        <v/>
      </c>
      <c r="N45" s="17">
        <f>IF(M45="","",IFERROR(IF(M45&lt;=VLOOKUP(M45,Setup!$A$4:$C$7,3,TRUE),VLOOKUP(M45,Setup!$A$4:$C$7,2,TRUE),"Outside configured ranges"),"Outside configured ranges"))</f>
        <v/>
      </c>
      <c r="O45" s="16">
        <f>IF(OR(B45="",B45&gt;Setup!$I$4),"",Setup!$I$4-B45)</f>
        <v/>
      </c>
      <c r="P45" s="16">
        <f>IF(G45="","",G45-Setup!$I$4)</f>
        <v/>
      </c>
      <c r="Q45" s="27">
        <f>IF(K45="","",IFERROR(VLOOKUP(K45,Setup!$E$4:$F$9,2,FALSE),""))</f>
        <v/>
      </c>
      <c r="R45" s="17">
        <f>IF(A45="","",IF(OR(B45="",C45="",D45="",E45="",F45="",G45="",H45="",I45="",K45=""),"Incomplete",IF(COUNTIF(Setup!$K$4:$K$8,I45)=0,"Invalid status",IF(COUNTIF(Setup!$L$4:$L$8,H45)=0,"Invalid schedule",IF(COUNTIF(Setup!$E$4:$E$9,K45)=0,"Invalid contact outcome",IF(I45&lt;&gt;"Active","Not active",IF(B45&gt;Setup!$I$4,"Future waitlist date",IF(D45&gt;E45,"Invalid age/date",IF(F45&gt;G45,"Invalid window",IF(OR(E45&lt;F45,E45&gt;G45),"Preferred date outside window",IF(G45&lt;Setup!$I$4,"Window expired",IF(OR(M45="",N45="Outside configured ranges"),"Outside age bands","Ready"))))))))))))</f>
        <v/>
      </c>
      <c r="S45" s="27">
        <f>IF(R45&lt;&gt;"Ready","",ROUND(O45*Setup!$I$5+MAX(0,Setup!$I$6-MAX(0,P45))*Setup!$I$7+Q45,1))</f>
        <v/>
      </c>
      <c r="T45" s="16">
        <f>IF(S45="","",1+COUNTIFS($R$2:$R$201,"Ready",$N$2:$N$201,N45,$S$2:$S$201,"&gt;"&amp;S45)+COUNTIFS($R$2:$R$201,"Ready",$N$2:$N$201,N45,$S$2:$S$201,"="&amp;S45,$B$2:$B$201,"&lt;"&amp;B45)+COUNTIFS($R$2:$R$201,"Ready",$N$2:$N$201,N45,$S$2:$S$201,"="&amp;S45,$B$2:$B$201,"="&amp;B45,$A$2:$A$201,"&lt;"&amp;A45))</f>
        <v/>
      </c>
      <c r="U45" s="17">
        <f>IF(A45="","",IF(R45&lt;&gt;"Ready",R45,IF(AND(K45="Not Contacted",J45&lt;&gt;""),"Clear last contact date or update outcome",IF(AND(K45&lt;&gt;"Not Contacted",J45=""),"Add last contact date",IF(AND(J45&lt;&gt;"",J45&gt;Setup!$I$4),"Last contact is after review date",IF(K45="Declined","Align status with declined outcome",IF(AND(L45&lt;&gt;"",L45&gt;G45),"Follow-up is after latest start",IF(AND(L45&lt;&gt;"",L45&lt;Setup!$I$4),"Follow-up overdue",IF(AND(L45&lt;&gt;"",L45&lt;=Setup!$I$4+Setup!$I$9),"Follow-up due soon",IF(AND(J45&lt;&gt;"",Setup!$I$4-J45&gt;Setup!$I$8),"Contact may be stale",""))))))))))</f>
        <v/>
      </c>
    </row>
    <row r="46" ht="22" customHeight="1">
      <c r="A46" s="13" t="n"/>
      <c r="B46" s="14" t="n"/>
      <c r="C46" s="15" t="n"/>
      <c r="D46" s="14" t="n"/>
      <c r="E46" s="14" t="n"/>
      <c r="F46" s="14" t="n"/>
      <c r="G46" s="14" t="n"/>
      <c r="H46" s="15" t="n"/>
      <c r="I46" s="13" t="n"/>
      <c r="J46" s="14" t="n"/>
      <c r="K46" s="15" t="n"/>
      <c r="L46" s="14" t="n"/>
      <c r="M46" s="16">
        <f>IF(OR(D46="",E46=""),"",12*(YEAR(E46)-YEAR(D46))+MONTH(E46)-MONTH(D46)-IF(DAY(E46)&lt;DAY(D46),1,0))</f>
        <v/>
      </c>
      <c r="N46" s="17">
        <f>IF(M46="","",IFERROR(IF(M46&lt;=VLOOKUP(M46,Setup!$A$4:$C$7,3,TRUE),VLOOKUP(M46,Setup!$A$4:$C$7,2,TRUE),"Outside configured ranges"),"Outside configured ranges"))</f>
        <v/>
      </c>
      <c r="O46" s="16">
        <f>IF(OR(B46="",B46&gt;Setup!$I$4),"",Setup!$I$4-B46)</f>
        <v/>
      </c>
      <c r="P46" s="16">
        <f>IF(G46="","",G46-Setup!$I$4)</f>
        <v/>
      </c>
      <c r="Q46" s="27">
        <f>IF(K46="","",IFERROR(VLOOKUP(K46,Setup!$E$4:$F$9,2,FALSE),""))</f>
        <v/>
      </c>
      <c r="R46" s="17">
        <f>IF(A46="","",IF(OR(B46="",C46="",D46="",E46="",F46="",G46="",H46="",I46="",K46=""),"Incomplete",IF(COUNTIF(Setup!$K$4:$K$8,I46)=0,"Invalid status",IF(COUNTIF(Setup!$L$4:$L$8,H46)=0,"Invalid schedule",IF(COUNTIF(Setup!$E$4:$E$9,K46)=0,"Invalid contact outcome",IF(I46&lt;&gt;"Active","Not active",IF(B46&gt;Setup!$I$4,"Future waitlist date",IF(D46&gt;E46,"Invalid age/date",IF(F46&gt;G46,"Invalid window",IF(OR(E46&lt;F46,E46&gt;G46),"Preferred date outside window",IF(G46&lt;Setup!$I$4,"Window expired",IF(OR(M46="",N46="Outside configured ranges"),"Outside age bands","Ready"))))))))))))</f>
        <v/>
      </c>
      <c r="S46" s="27">
        <f>IF(R46&lt;&gt;"Ready","",ROUND(O46*Setup!$I$5+MAX(0,Setup!$I$6-MAX(0,P46))*Setup!$I$7+Q46,1))</f>
        <v/>
      </c>
      <c r="T46" s="16">
        <f>IF(S46="","",1+COUNTIFS($R$2:$R$201,"Ready",$N$2:$N$201,N46,$S$2:$S$201,"&gt;"&amp;S46)+COUNTIFS($R$2:$R$201,"Ready",$N$2:$N$201,N46,$S$2:$S$201,"="&amp;S46,$B$2:$B$201,"&lt;"&amp;B46)+COUNTIFS($R$2:$R$201,"Ready",$N$2:$N$201,N46,$S$2:$S$201,"="&amp;S46,$B$2:$B$201,"="&amp;B46,$A$2:$A$201,"&lt;"&amp;A46))</f>
        <v/>
      </c>
      <c r="U46" s="17">
        <f>IF(A46="","",IF(R46&lt;&gt;"Ready",R46,IF(AND(K46="Not Contacted",J46&lt;&gt;""),"Clear last contact date or update outcome",IF(AND(K46&lt;&gt;"Not Contacted",J46=""),"Add last contact date",IF(AND(J46&lt;&gt;"",J46&gt;Setup!$I$4),"Last contact is after review date",IF(K46="Declined","Align status with declined outcome",IF(AND(L46&lt;&gt;"",L46&gt;G46),"Follow-up is after latest start",IF(AND(L46&lt;&gt;"",L46&lt;Setup!$I$4),"Follow-up overdue",IF(AND(L46&lt;&gt;"",L46&lt;=Setup!$I$4+Setup!$I$9),"Follow-up due soon",IF(AND(J46&lt;&gt;"",Setup!$I$4-J46&gt;Setup!$I$8),"Contact may be stale",""))))))))))</f>
        <v/>
      </c>
    </row>
    <row r="47" ht="22" customHeight="1">
      <c r="A47" s="13" t="n"/>
      <c r="B47" s="14" t="n"/>
      <c r="C47" s="15" t="n"/>
      <c r="D47" s="14" t="n"/>
      <c r="E47" s="14" t="n"/>
      <c r="F47" s="14" t="n"/>
      <c r="G47" s="14" t="n"/>
      <c r="H47" s="15" t="n"/>
      <c r="I47" s="13" t="n"/>
      <c r="J47" s="14" t="n"/>
      <c r="K47" s="15" t="n"/>
      <c r="L47" s="14" t="n"/>
      <c r="M47" s="16">
        <f>IF(OR(D47="",E47=""),"",12*(YEAR(E47)-YEAR(D47))+MONTH(E47)-MONTH(D47)-IF(DAY(E47)&lt;DAY(D47),1,0))</f>
        <v/>
      </c>
      <c r="N47" s="17">
        <f>IF(M47="","",IFERROR(IF(M47&lt;=VLOOKUP(M47,Setup!$A$4:$C$7,3,TRUE),VLOOKUP(M47,Setup!$A$4:$C$7,2,TRUE),"Outside configured ranges"),"Outside configured ranges"))</f>
        <v/>
      </c>
      <c r="O47" s="16">
        <f>IF(OR(B47="",B47&gt;Setup!$I$4),"",Setup!$I$4-B47)</f>
        <v/>
      </c>
      <c r="P47" s="16">
        <f>IF(G47="","",G47-Setup!$I$4)</f>
        <v/>
      </c>
      <c r="Q47" s="27">
        <f>IF(K47="","",IFERROR(VLOOKUP(K47,Setup!$E$4:$F$9,2,FALSE),""))</f>
        <v/>
      </c>
      <c r="R47" s="17">
        <f>IF(A47="","",IF(OR(B47="",C47="",D47="",E47="",F47="",G47="",H47="",I47="",K47=""),"Incomplete",IF(COUNTIF(Setup!$K$4:$K$8,I47)=0,"Invalid status",IF(COUNTIF(Setup!$L$4:$L$8,H47)=0,"Invalid schedule",IF(COUNTIF(Setup!$E$4:$E$9,K47)=0,"Invalid contact outcome",IF(I47&lt;&gt;"Active","Not active",IF(B47&gt;Setup!$I$4,"Future waitlist date",IF(D47&gt;E47,"Invalid age/date",IF(F47&gt;G47,"Invalid window",IF(OR(E47&lt;F47,E47&gt;G47),"Preferred date outside window",IF(G47&lt;Setup!$I$4,"Window expired",IF(OR(M47="",N47="Outside configured ranges"),"Outside age bands","Ready"))))))))))))</f>
        <v/>
      </c>
      <c r="S47" s="27">
        <f>IF(R47&lt;&gt;"Ready","",ROUND(O47*Setup!$I$5+MAX(0,Setup!$I$6-MAX(0,P47))*Setup!$I$7+Q47,1))</f>
        <v/>
      </c>
      <c r="T47" s="16">
        <f>IF(S47="","",1+COUNTIFS($R$2:$R$201,"Ready",$N$2:$N$201,N47,$S$2:$S$201,"&gt;"&amp;S47)+COUNTIFS($R$2:$R$201,"Ready",$N$2:$N$201,N47,$S$2:$S$201,"="&amp;S47,$B$2:$B$201,"&lt;"&amp;B47)+COUNTIFS($R$2:$R$201,"Ready",$N$2:$N$201,N47,$S$2:$S$201,"="&amp;S47,$B$2:$B$201,"="&amp;B47,$A$2:$A$201,"&lt;"&amp;A47))</f>
        <v/>
      </c>
      <c r="U47" s="17">
        <f>IF(A47="","",IF(R47&lt;&gt;"Ready",R47,IF(AND(K47="Not Contacted",J47&lt;&gt;""),"Clear last contact date or update outcome",IF(AND(K47&lt;&gt;"Not Contacted",J47=""),"Add last contact date",IF(AND(J47&lt;&gt;"",J47&gt;Setup!$I$4),"Last contact is after review date",IF(K47="Declined","Align status with declined outcome",IF(AND(L47&lt;&gt;"",L47&gt;G47),"Follow-up is after latest start",IF(AND(L47&lt;&gt;"",L47&lt;Setup!$I$4),"Follow-up overdue",IF(AND(L47&lt;&gt;"",L47&lt;=Setup!$I$4+Setup!$I$9),"Follow-up due soon",IF(AND(J47&lt;&gt;"",Setup!$I$4-J47&gt;Setup!$I$8),"Contact may be stale",""))))))))))</f>
        <v/>
      </c>
    </row>
    <row r="48" ht="22" customHeight="1">
      <c r="A48" s="13" t="n"/>
      <c r="B48" s="14" t="n"/>
      <c r="C48" s="15" t="n"/>
      <c r="D48" s="14" t="n"/>
      <c r="E48" s="14" t="n"/>
      <c r="F48" s="14" t="n"/>
      <c r="G48" s="14" t="n"/>
      <c r="H48" s="15" t="n"/>
      <c r="I48" s="13" t="n"/>
      <c r="J48" s="14" t="n"/>
      <c r="K48" s="15" t="n"/>
      <c r="L48" s="14" t="n"/>
      <c r="M48" s="16">
        <f>IF(OR(D48="",E48=""),"",12*(YEAR(E48)-YEAR(D48))+MONTH(E48)-MONTH(D48)-IF(DAY(E48)&lt;DAY(D48),1,0))</f>
        <v/>
      </c>
      <c r="N48" s="17">
        <f>IF(M48="","",IFERROR(IF(M48&lt;=VLOOKUP(M48,Setup!$A$4:$C$7,3,TRUE),VLOOKUP(M48,Setup!$A$4:$C$7,2,TRUE),"Outside configured ranges"),"Outside configured ranges"))</f>
        <v/>
      </c>
      <c r="O48" s="16">
        <f>IF(OR(B48="",B48&gt;Setup!$I$4),"",Setup!$I$4-B48)</f>
        <v/>
      </c>
      <c r="P48" s="16">
        <f>IF(G48="","",G48-Setup!$I$4)</f>
        <v/>
      </c>
      <c r="Q48" s="27">
        <f>IF(K48="","",IFERROR(VLOOKUP(K48,Setup!$E$4:$F$9,2,FALSE),""))</f>
        <v/>
      </c>
      <c r="R48" s="17">
        <f>IF(A48="","",IF(OR(B48="",C48="",D48="",E48="",F48="",G48="",H48="",I48="",K48=""),"Incomplete",IF(COUNTIF(Setup!$K$4:$K$8,I48)=0,"Invalid status",IF(COUNTIF(Setup!$L$4:$L$8,H48)=0,"Invalid schedule",IF(COUNTIF(Setup!$E$4:$E$9,K48)=0,"Invalid contact outcome",IF(I48&lt;&gt;"Active","Not active",IF(B48&gt;Setup!$I$4,"Future waitlist date",IF(D48&gt;E48,"Invalid age/date",IF(F48&gt;G48,"Invalid window",IF(OR(E48&lt;F48,E48&gt;G48),"Preferred date outside window",IF(G48&lt;Setup!$I$4,"Window expired",IF(OR(M48="",N48="Outside configured ranges"),"Outside age bands","Ready"))))))))))))</f>
        <v/>
      </c>
      <c r="S48" s="27">
        <f>IF(R48&lt;&gt;"Ready","",ROUND(O48*Setup!$I$5+MAX(0,Setup!$I$6-MAX(0,P48))*Setup!$I$7+Q48,1))</f>
        <v/>
      </c>
      <c r="T48" s="16">
        <f>IF(S48="","",1+COUNTIFS($R$2:$R$201,"Ready",$N$2:$N$201,N48,$S$2:$S$201,"&gt;"&amp;S48)+COUNTIFS($R$2:$R$201,"Ready",$N$2:$N$201,N48,$S$2:$S$201,"="&amp;S48,$B$2:$B$201,"&lt;"&amp;B48)+COUNTIFS($R$2:$R$201,"Ready",$N$2:$N$201,N48,$S$2:$S$201,"="&amp;S48,$B$2:$B$201,"="&amp;B48,$A$2:$A$201,"&lt;"&amp;A48))</f>
        <v/>
      </c>
      <c r="U48" s="17">
        <f>IF(A48="","",IF(R48&lt;&gt;"Ready",R48,IF(AND(K48="Not Contacted",J48&lt;&gt;""),"Clear last contact date or update outcome",IF(AND(K48&lt;&gt;"Not Contacted",J48=""),"Add last contact date",IF(AND(J48&lt;&gt;"",J48&gt;Setup!$I$4),"Last contact is after review date",IF(K48="Declined","Align status with declined outcome",IF(AND(L48&lt;&gt;"",L48&gt;G48),"Follow-up is after latest start",IF(AND(L48&lt;&gt;"",L48&lt;Setup!$I$4),"Follow-up overdue",IF(AND(L48&lt;&gt;"",L48&lt;=Setup!$I$4+Setup!$I$9),"Follow-up due soon",IF(AND(J48&lt;&gt;"",Setup!$I$4-J48&gt;Setup!$I$8),"Contact may be stale",""))))))))))</f>
        <v/>
      </c>
    </row>
    <row r="49" ht="22" customHeight="1">
      <c r="A49" s="13" t="n"/>
      <c r="B49" s="14" t="n"/>
      <c r="C49" s="15" t="n"/>
      <c r="D49" s="14" t="n"/>
      <c r="E49" s="14" t="n"/>
      <c r="F49" s="14" t="n"/>
      <c r="G49" s="14" t="n"/>
      <c r="H49" s="15" t="n"/>
      <c r="I49" s="13" t="n"/>
      <c r="J49" s="14" t="n"/>
      <c r="K49" s="15" t="n"/>
      <c r="L49" s="14" t="n"/>
      <c r="M49" s="16">
        <f>IF(OR(D49="",E49=""),"",12*(YEAR(E49)-YEAR(D49))+MONTH(E49)-MONTH(D49)-IF(DAY(E49)&lt;DAY(D49),1,0))</f>
        <v/>
      </c>
      <c r="N49" s="17">
        <f>IF(M49="","",IFERROR(IF(M49&lt;=VLOOKUP(M49,Setup!$A$4:$C$7,3,TRUE),VLOOKUP(M49,Setup!$A$4:$C$7,2,TRUE),"Outside configured ranges"),"Outside configured ranges"))</f>
        <v/>
      </c>
      <c r="O49" s="16">
        <f>IF(OR(B49="",B49&gt;Setup!$I$4),"",Setup!$I$4-B49)</f>
        <v/>
      </c>
      <c r="P49" s="16">
        <f>IF(G49="","",G49-Setup!$I$4)</f>
        <v/>
      </c>
      <c r="Q49" s="27">
        <f>IF(K49="","",IFERROR(VLOOKUP(K49,Setup!$E$4:$F$9,2,FALSE),""))</f>
        <v/>
      </c>
      <c r="R49" s="17">
        <f>IF(A49="","",IF(OR(B49="",C49="",D49="",E49="",F49="",G49="",H49="",I49="",K49=""),"Incomplete",IF(COUNTIF(Setup!$K$4:$K$8,I49)=0,"Invalid status",IF(COUNTIF(Setup!$L$4:$L$8,H49)=0,"Invalid schedule",IF(COUNTIF(Setup!$E$4:$E$9,K49)=0,"Invalid contact outcome",IF(I49&lt;&gt;"Active","Not active",IF(B49&gt;Setup!$I$4,"Future waitlist date",IF(D49&gt;E49,"Invalid age/date",IF(F49&gt;G49,"Invalid window",IF(OR(E49&lt;F49,E49&gt;G49),"Preferred date outside window",IF(G49&lt;Setup!$I$4,"Window expired",IF(OR(M49="",N49="Outside configured ranges"),"Outside age bands","Ready"))))))))))))</f>
        <v/>
      </c>
      <c r="S49" s="27">
        <f>IF(R49&lt;&gt;"Ready","",ROUND(O49*Setup!$I$5+MAX(0,Setup!$I$6-MAX(0,P49))*Setup!$I$7+Q49,1))</f>
        <v/>
      </c>
      <c r="T49" s="16">
        <f>IF(S49="","",1+COUNTIFS($R$2:$R$201,"Ready",$N$2:$N$201,N49,$S$2:$S$201,"&gt;"&amp;S49)+COUNTIFS($R$2:$R$201,"Ready",$N$2:$N$201,N49,$S$2:$S$201,"="&amp;S49,$B$2:$B$201,"&lt;"&amp;B49)+COUNTIFS($R$2:$R$201,"Ready",$N$2:$N$201,N49,$S$2:$S$201,"="&amp;S49,$B$2:$B$201,"="&amp;B49,$A$2:$A$201,"&lt;"&amp;A49))</f>
        <v/>
      </c>
      <c r="U49" s="17">
        <f>IF(A49="","",IF(R49&lt;&gt;"Ready",R49,IF(AND(K49="Not Contacted",J49&lt;&gt;""),"Clear last contact date or update outcome",IF(AND(K49&lt;&gt;"Not Contacted",J49=""),"Add last contact date",IF(AND(J49&lt;&gt;"",J49&gt;Setup!$I$4),"Last contact is after review date",IF(K49="Declined","Align status with declined outcome",IF(AND(L49&lt;&gt;"",L49&gt;G49),"Follow-up is after latest start",IF(AND(L49&lt;&gt;"",L49&lt;Setup!$I$4),"Follow-up overdue",IF(AND(L49&lt;&gt;"",L49&lt;=Setup!$I$4+Setup!$I$9),"Follow-up due soon",IF(AND(J49&lt;&gt;"",Setup!$I$4-J49&gt;Setup!$I$8),"Contact may be stale",""))))))))))</f>
        <v/>
      </c>
    </row>
    <row r="50" ht="22" customHeight="1">
      <c r="A50" s="13" t="n"/>
      <c r="B50" s="14" t="n"/>
      <c r="C50" s="15" t="n"/>
      <c r="D50" s="14" t="n"/>
      <c r="E50" s="14" t="n"/>
      <c r="F50" s="14" t="n"/>
      <c r="G50" s="14" t="n"/>
      <c r="H50" s="15" t="n"/>
      <c r="I50" s="13" t="n"/>
      <c r="J50" s="14" t="n"/>
      <c r="K50" s="15" t="n"/>
      <c r="L50" s="14" t="n"/>
      <c r="M50" s="16">
        <f>IF(OR(D50="",E50=""),"",12*(YEAR(E50)-YEAR(D50))+MONTH(E50)-MONTH(D50)-IF(DAY(E50)&lt;DAY(D50),1,0))</f>
        <v/>
      </c>
      <c r="N50" s="17">
        <f>IF(M50="","",IFERROR(IF(M50&lt;=VLOOKUP(M50,Setup!$A$4:$C$7,3,TRUE),VLOOKUP(M50,Setup!$A$4:$C$7,2,TRUE),"Outside configured ranges"),"Outside configured ranges"))</f>
        <v/>
      </c>
      <c r="O50" s="16">
        <f>IF(OR(B50="",B50&gt;Setup!$I$4),"",Setup!$I$4-B50)</f>
        <v/>
      </c>
      <c r="P50" s="16">
        <f>IF(G50="","",G50-Setup!$I$4)</f>
        <v/>
      </c>
      <c r="Q50" s="27">
        <f>IF(K50="","",IFERROR(VLOOKUP(K50,Setup!$E$4:$F$9,2,FALSE),""))</f>
        <v/>
      </c>
      <c r="R50" s="17">
        <f>IF(A50="","",IF(OR(B50="",C50="",D50="",E50="",F50="",G50="",H50="",I50="",K50=""),"Incomplete",IF(COUNTIF(Setup!$K$4:$K$8,I50)=0,"Invalid status",IF(COUNTIF(Setup!$L$4:$L$8,H50)=0,"Invalid schedule",IF(COUNTIF(Setup!$E$4:$E$9,K50)=0,"Invalid contact outcome",IF(I50&lt;&gt;"Active","Not active",IF(B50&gt;Setup!$I$4,"Future waitlist date",IF(D50&gt;E50,"Invalid age/date",IF(F50&gt;G50,"Invalid window",IF(OR(E50&lt;F50,E50&gt;G50),"Preferred date outside window",IF(G50&lt;Setup!$I$4,"Window expired",IF(OR(M50="",N50="Outside configured ranges"),"Outside age bands","Ready"))))))))))))</f>
        <v/>
      </c>
      <c r="S50" s="27">
        <f>IF(R50&lt;&gt;"Ready","",ROUND(O50*Setup!$I$5+MAX(0,Setup!$I$6-MAX(0,P50))*Setup!$I$7+Q50,1))</f>
        <v/>
      </c>
      <c r="T50" s="16">
        <f>IF(S50="","",1+COUNTIFS($R$2:$R$201,"Ready",$N$2:$N$201,N50,$S$2:$S$201,"&gt;"&amp;S50)+COUNTIFS($R$2:$R$201,"Ready",$N$2:$N$201,N50,$S$2:$S$201,"="&amp;S50,$B$2:$B$201,"&lt;"&amp;B50)+COUNTIFS($R$2:$R$201,"Ready",$N$2:$N$201,N50,$S$2:$S$201,"="&amp;S50,$B$2:$B$201,"="&amp;B50,$A$2:$A$201,"&lt;"&amp;A50))</f>
        <v/>
      </c>
      <c r="U50" s="17">
        <f>IF(A50="","",IF(R50&lt;&gt;"Ready",R50,IF(AND(K50="Not Contacted",J50&lt;&gt;""),"Clear last contact date or update outcome",IF(AND(K50&lt;&gt;"Not Contacted",J50=""),"Add last contact date",IF(AND(J50&lt;&gt;"",J50&gt;Setup!$I$4),"Last contact is after review date",IF(K50="Declined","Align status with declined outcome",IF(AND(L50&lt;&gt;"",L50&gt;G50),"Follow-up is after latest start",IF(AND(L50&lt;&gt;"",L50&lt;Setup!$I$4),"Follow-up overdue",IF(AND(L50&lt;&gt;"",L50&lt;=Setup!$I$4+Setup!$I$9),"Follow-up due soon",IF(AND(J50&lt;&gt;"",Setup!$I$4-J50&gt;Setup!$I$8),"Contact may be stale",""))))))))))</f>
        <v/>
      </c>
    </row>
    <row r="51" ht="22" customHeight="1">
      <c r="A51" s="13" t="n"/>
      <c r="B51" s="14" t="n"/>
      <c r="C51" s="15" t="n"/>
      <c r="D51" s="14" t="n"/>
      <c r="E51" s="14" t="n"/>
      <c r="F51" s="14" t="n"/>
      <c r="G51" s="14" t="n"/>
      <c r="H51" s="15" t="n"/>
      <c r="I51" s="13" t="n"/>
      <c r="J51" s="14" t="n"/>
      <c r="K51" s="15" t="n"/>
      <c r="L51" s="14" t="n"/>
      <c r="M51" s="16">
        <f>IF(OR(D51="",E51=""),"",12*(YEAR(E51)-YEAR(D51))+MONTH(E51)-MONTH(D51)-IF(DAY(E51)&lt;DAY(D51),1,0))</f>
        <v/>
      </c>
      <c r="N51" s="17">
        <f>IF(M51="","",IFERROR(IF(M51&lt;=VLOOKUP(M51,Setup!$A$4:$C$7,3,TRUE),VLOOKUP(M51,Setup!$A$4:$C$7,2,TRUE),"Outside configured ranges"),"Outside configured ranges"))</f>
        <v/>
      </c>
      <c r="O51" s="16">
        <f>IF(OR(B51="",B51&gt;Setup!$I$4),"",Setup!$I$4-B51)</f>
        <v/>
      </c>
      <c r="P51" s="16">
        <f>IF(G51="","",G51-Setup!$I$4)</f>
        <v/>
      </c>
      <c r="Q51" s="27">
        <f>IF(K51="","",IFERROR(VLOOKUP(K51,Setup!$E$4:$F$9,2,FALSE),""))</f>
        <v/>
      </c>
      <c r="R51" s="17">
        <f>IF(A51="","",IF(OR(B51="",C51="",D51="",E51="",F51="",G51="",H51="",I51="",K51=""),"Incomplete",IF(COUNTIF(Setup!$K$4:$K$8,I51)=0,"Invalid status",IF(COUNTIF(Setup!$L$4:$L$8,H51)=0,"Invalid schedule",IF(COUNTIF(Setup!$E$4:$E$9,K51)=0,"Invalid contact outcome",IF(I51&lt;&gt;"Active","Not active",IF(B51&gt;Setup!$I$4,"Future waitlist date",IF(D51&gt;E51,"Invalid age/date",IF(F51&gt;G51,"Invalid window",IF(OR(E51&lt;F51,E51&gt;G51),"Preferred date outside window",IF(G51&lt;Setup!$I$4,"Window expired",IF(OR(M51="",N51="Outside configured ranges"),"Outside age bands","Ready"))))))))))))</f>
        <v/>
      </c>
      <c r="S51" s="27">
        <f>IF(R51&lt;&gt;"Ready","",ROUND(O51*Setup!$I$5+MAX(0,Setup!$I$6-MAX(0,P51))*Setup!$I$7+Q51,1))</f>
        <v/>
      </c>
      <c r="T51" s="16">
        <f>IF(S51="","",1+COUNTIFS($R$2:$R$201,"Ready",$N$2:$N$201,N51,$S$2:$S$201,"&gt;"&amp;S51)+COUNTIFS($R$2:$R$201,"Ready",$N$2:$N$201,N51,$S$2:$S$201,"="&amp;S51,$B$2:$B$201,"&lt;"&amp;B51)+COUNTIFS($R$2:$R$201,"Ready",$N$2:$N$201,N51,$S$2:$S$201,"="&amp;S51,$B$2:$B$201,"="&amp;B51,$A$2:$A$201,"&lt;"&amp;A51))</f>
        <v/>
      </c>
      <c r="U51" s="17">
        <f>IF(A51="","",IF(R51&lt;&gt;"Ready",R51,IF(AND(K51="Not Contacted",J51&lt;&gt;""),"Clear last contact date or update outcome",IF(AND(K51&lt;&gt;"Not Contacted",J51=""),"Add last contact date",IF(AND(J51&lt;&gt;"",J51&gt;Setup!$I$4),"Last contact is after review date",IF(K51="Declined","Align status with declined outcome",IF(AND(L51&lt;&gt;"",L51&gt;G51),"Follow-up is after latest start",IF(AND(L51&lt;&gt;"",L51&lt;Setup!$I$4),"Follow-up overdue",IF(AND(L51&lt;&gt;"",L51&lt;=Setup!$I$4+Setup!$I$9),"Follow-up due soon",IF(AND(J51&lt;&gt;"",Setup!$I$4-J51&gt;Setup!$I$8),"Contact may be stale",""))))))))))</f>
        <v/>
      </c>
    </row>
    <row r="52" ht="22" customHeight="1">
      <c r="A52" s="13" t="n"/>
      <c r="B52" s="14" t="n"/>
      <c r="C52" s="15" t="n"/>
      <c r="D52" s="14" t="n"/>
      <c r="E52" s="14" t="n"/>
      <c r="F52" s="14" t="n"/>
      <c r="G52" s="14" t="n"/>
      <c r="H52" s="15" t="n"/>
      <c r="I52" s="13" t="n"/>
      <c r="J52" s="14" t="n"/>
      <c r="K52" s="15" t="n"/>
      <c r="L52" s="14" t="n"/>
      <c r="M52" s="16">
        <f>IF(OR(D52="",E52=""),"",12*(YEAR(E52)-YEAR(D52))+MONTH(E52)-MONTH(D52)-IF(DAY(E52)&lt;DAY(D52),1,0))</f>
        <v/>
      </c>
      <c r="N52" s="17">
        <f>IF(M52="","",IFERROR(IF(M52&lt;=VLOOKUP(M52,Setup!$A$4:$C$7,3,TRUE),VLOOKUP(M52,Setup!$A$4:$C$7,2,TRUE),"Outside configured ranges"),"Outside configured ranges"))</f>
        <v/>
      </c>
      <c r="O52" s="16">
        <f>IF(OR(B52="",B52&gt;Setup!$I$4),"",Setup!$I$4-B52)</f>
        <v/>
      </c>
      <c r="P52" s="16">
        <f>IF(G52="","",G52-Setup!$I$4)</f>
        <v/>
      </c>
      <c r="Q52" s="27">
        <f>IF(K52="","",IFERROR(VLOOKUP(K52,Setup!$E$4:$F$9,2,FALSE),""))</f>
        <v/>
      </c>
      <c r="R52" s="17">
        <f>IF(A52="","",IF(OR(B52="",C52="",D52="",E52="",F52="",G52="",H52="",I52="",K52=""),"Incomplete",IF(COUNTIF(Setup!$K$4:$K$8,I52)=0,"Invalid status",IF(COUNTIF(Setup!$L$4:$L$8,H52)=0,"Invalid schedule",IF(COUNTIF(Setup!$E$4:$E$9,K52)=0,"Invalid contact outcome",IF(I52&lt;&gt;"Active","Not active",IF(B52&gt;Setup!$I$4,"Future waitlist date",IF(D52&gt;E52,"Invalid age/date",IF(F52&gt;G52,"Invalid window",IF(OR(E52&lt;F52,E52&gt;G52),"Preferred date outside window",IF(G52&lt;Setup!$I$4,"Window expired",IF(OR(M52="",N52="Outside configured ranges"),"Outside age bands","Ready"))))))))))))</f>
        <v/>
      </c>
      <c r="S52" s="27">
        <f>IF(R52&lt;&gt;"Ready","",ROUND(O52*Setup!$I$5+MAX(0,Setup!$I$6-MAX(0,P52))*Setup!$I$7+Q52,1))</f>
        <v/>
      </c>
      <c r="T52" s="16">
        <f>IF(S52="","",1+COUNTIFS($R$2:$R$201,"Ready",$N$2:$N$201,N52,$S$2:$S$201,"&gt;"&amp;S52)+COUNTIFS($R$2:$R$201,"Ready",$N$2:$N$201,N52,$S$2:$S$201,"="&amp;S52,$B$2:$B$201,"&lt;"&amp;B52)+COUNTIFS($R$2:$R$201,"Ready",$N$2:$N$201,N52,$S$2:$S$201,"="&amp;S52,$B$2:$B$201,"="&amp;B52,$A$2:$A$201,"&lt;"&amp;A52))</f>
        <v/>
      </c>
      <c r="U52" s="17">
        <f>IF(A52="","",IF(R52&lt;&gt;"Ready",R52,IF(AND(K52="Not Contacted",J52&lt;&gt;""),"Clear last contact date or update outcome",IF(AND(K52&lt;&gt;"Not Contacted",J52=""),"Add last contact date",IF(AND(J52&lt;&gt;"",J52&gt;Setup!$I$4),"Last contact is after review date",IF(K52="Declined","Align status with declined outcome",IF(AND(L52&lt;&gt;"",L52&gt;G52),"Follow-up is after latest start",IF(AND(L52&lt;&gt;"",L52&lt;Setup!$I$4),"Follow-up overdue",IF(AND(L52&lt;&gt;"",L52&lt;=Setup!$I$4+Setup!$I$9),"Follow-up due soon",IF(AND(J52&lt;&gt;"",Setup!$I$4-J52&gt;Setup!$I$8),"Contact may be stale",""))))))))))</f>
        <v/>
      </c>
    </row>
    <row r="53" ht="22" customHeight="1">
      <c r="A53" s="13" t="n"/>
      <c r="B53" s="14" t="n"/>
      <c r="C53" s="15" t="n"/>
      <c r="D53" s="14" t="n"/>
      <c r="E53" s="14" t="n"/>
      <c r="F53" s="14" t="n"/>
      <c r="G53" s="14" t="n"/>
      <c r="H53" s="15" t="n"/>
      <c r="I53" s="13" t="n"/>
      <c r="J53" s="14" t="n"/>
      <c r="K53" s="15" t="n"/>
      <c r="L53" s="14" t="n"/>
      <c r="M53" s="16">
        <f>IF(OR(D53="",E53=""),"",12*(YEAR(E53)-YEAR(D53))+MONTH(E53)-MONTH(D53)-IF(DAY(E53)&lt;DAY(D53),1,0))</f>
        <v/>
      </c>
      <c r="N53" s="17">
        <f>IF(M53="","",IFERROR(IF(M53&lt;=VLOOKUP(M53,Setup!$A$4:$C$7,3,TRUE),VLOOKUP(M53,Setup!$A$4:$C$7,2,TRUE),"Outside configured ranges"),"Outside configured ranges"))</f>
        <v/>
      </c>
      <c r="O53" s="16">
        <f>IF(OR(B53="",B53&gt;Setup!$I$4),"",Setup!$I$4-B53)</f>
        <v/>
      </c>
      <c r="P53" s="16">
        <f>IF(G53="","",G53-Setup!$I$4)</f>
        <v/>
      </c>
      <c r="Q53" s="27">
        <f>IF(K53="","",IFERROR(VLOOKUP(K53,Setup!$E$4:$F$9,2,FALSE),""))</f>
        <v/>
      </c>
      <c r="R53" s="17">
        <f>IF(A53="","",IF(OR(B53="",C53="",D53="",E53="",F53="",G53="",H53="",I53="",K53=""),"Incomplete",IF(COUNTIF(Setup!$K$4:$K$8,I53)=0,"Invalid status",IF(COUNTIF(Setup!$L$4:$L$8,H53)=0,"Invalid schedule",IF(COUNTIF(Setup!$E$4:$E$9,K53)=0,"Invalid contact outcome",IF(I53&lt;&gt;"Active","Not active",IF(B53&gt;Setup!$I$4,"Future waitlist date",IF(D53&gt;E53,"Invalid age/date",IF(F53&gt;G53,"Invalid window",IF(OR(E53&lt;F53,E53&gt;G53),"Preferred date outside window",IF(G53&lt;Setup!$I$4,"Window expired",IF(OR(M53="",N53="Outside configured ranges"),"Outside age bands","Ready"))))))))))))</f>
        <v/>
      </c>
      <c r="S53" s="27">
        <f>IF(R53&lt;&gt;"Ready","",ROUND(O53*Setup!$I$5+MAX(0,Setup!$I$6-MAX(0,P53))*Setup!$I$7+Q53,1))</f>
        <v/>
      </c>
      <c r="T53" s="16">
        <f>IF(S53="","",1+COUNTIFS($R$2:$R$201,"Ready",$N$2:$N$201,N53,$S$2:$S$201,"&gt;"&amp;S53)+COUNTIFS($R$2:$R$201,"Ready",$N$2:$N$201,N53,$S$2:$S$201,"="&amp;S53,$B$2:$B$201,"&lt;"&amp;B53)+COUNTIFS($R$2:$R$201,"Ready",$N$2:$N$201,N53,$S$2:$S$201,"="&amp;S53,$B$2:$B$201,"="&amp;B53,$A$2:$A$201,"&lt;"&amp;A53))</f>
        <v/>
      </c>
      <c r="U53" s="17">
        <f>IF(A53="","",IF(R53&lt;&gt;"Ready",R53,IF(AND(K53="Not Contacted",J53&lt;&gt;""),"Clear last contact date or update outcome",IF(AND(K53&lt;&gt;"Not Contacted",J53=""),"Add last contact date",IF(AND(J53&lt;&gt;"",J53&gt;Setup!$I$4),"Last contact is after review date",IF(K53="Declined","Align status with declined outcome",IF(AND(L53&lt;&gt;"",L53&gt;G53),"Follow-up is after latest start",IF(AND(L53&lt;&gt;"",L53&lt;Setup!$I$4),"Follow-up overdue",IF(AND(L53&lt;&gt;"",L53&lt;=Setup!$I$4+Setup!$I$9),"Follow-up due soon",IF(AND(J53&lt;&gt;"",Setup!$I$4-J53&gt;Setup!$I$8),"Contact may be stale",""))))))))))</f>
        <v/>
      </c>
    </row>
    <row r="54" ht="22" customHeight="1">
      <c r="A54" s="13" t="n"/>
      <c r="B54" s="14" t="n"/>
      <c r="C54" s="15" t="n"/>
      <c r="D54" s="14" t="n"/>
      <c r="E54" s="14" t="n"/>
      <c r="F54" s="14" t="n"/>
      <c r="G54" s="14" t="n"/>
      <c r="H54" s="15" t="n"/>
      <c r="I54" s="13" t="n"/>
      <c r="J54" s="14" t="n"/>
      <c r="K54" s="15" t="n"/>
      <c r="L54" s="14" t="n"/>
      <c r="M54" s="16">
        <f>IF(OR(D54="",E54=""),"",12*(YEAR(E54)-YEAR(D54))+MONTH(E54)-MONTH(D54)-IF(DAY(E54)&lt;DAY(D54),1,0))</f>
        <v/>
      </c>
      <c r="N54" s="17">
        <f>IF(M54="","",IFERROR(IF(M54&lt;=VLOOKUP(M54,Setup!$A$4:$C$7,3,TRUE),VLOOKUP(M54,Setup!$A$4:$C$7,2,TRUE),"Outside configured ranges"),"Outside configured ranges"))</f>
        <v/>
      </c>
      <c r="O54" s="16">
        <f>IF(OR(B54="",B54&gt;Setup!$I$4),"",Setup!$I$4-B54)</f>
        <v/>
      </c>
      <c r="P54" s="16">
        <f>IF(G54="","",G54-Setup!$I$4)</f>
        <v/>
      </c>
      <c r="Q54" s="27">
        <f>IF(K54="","",IFERROR(VLOOKUP(K54,Setup!$E$4:$F$9,2,FALSE),""))</f>
        <v/>
      </c>
      <c r="R54" s="17">
        <f>IF(A54="","",IF(OR(B54="",C54="",D54="",E54="",F54="",G54="",H54="",I54="",K54=""),"Incomplete",IF(COUNTIF(Setup!$K$4:$K$8,I54)=0,"Invalid status",IF(COUNTIF(Setup!$L$4:$L$8,H54)=0,"Invalid schedule",IF(COUNTIF(Setup!$E$4:$E$9,K54)=0,"Invalid contact outcome",IF(I54&lt;&gt;"Active","Not active",IF(B54&gt;Setup!$I$4,"Future waitlist date",IF(D54&gt;E54,"Invalid age/date",IF(F54&gt;G54,"Invalid window",IF(OR(E54&lt;F54,E54&gt;G54),"Preferred date outside window",IF(G54&lt;Setup!$I$4,"Window expired",IF(OR(M54="",N54="Outside configured ranges"),"Outside age bands","Ready"))))))))))))</f>
        <v/>
      </c>
      <c r="S54" s="27">
        <f>IF(R54&lt;&gt;"Ready","",ROUND(O54*Setup!$I$5+MAX(0,Setup!$I$6-MAX(0,P54))*Setup!$I$7+Q54,1))</f>
        <v/>
      </c>
      <c r="T54" s="16">
        <f>IF(S54="","",1+COUNTIFS($R$2:$R$201,"Ready",$N$2:$N$201,N54,$S$2:$S$201,"&gt;"&amp;S54)+COUNTIFS($R$2:$R$201,"Ready",$N$2:$N$201,N54,$S$2:$S$201,"="&amp;S54,$B$2:$B$201,"&lt;"&amp;B54)+COUNTIFS($R$2:$R$201,"Ready",$N$2:$N$201,N54,$S$2:$S$201,"="&amp;S54,$B$2:$B$201,"="&amp;B54,$A$2:$A$201,"&lt;"&amp;A54))</f>
        <v/>
      </c>
      <c r="U54" s="17">
        <f>IF(A54="","",IF(R54&lt;&gt;"Ready",R54,IF(AND(K54="Not Contacted",J54&lt;&gt;""),"Clear last contact date or update outcome",IF(AND(K54&lt;&gt;"Not Contacted",J54=""),"Add last contact date",IF(AND(J54&lt;&gt;"",J54&gt;Setup!$I$4),"Last contact is after review date",IF(K54="Declined","Align status with declined outcome",IF(AND(L54&lt;&gt;"",L54&gt;G54),"Follow-up is after latest start",IF(AND(L54&lt;&gt;"",L54&lt;Setup!$I$4),"Follow-up overdue",IF(AND(L54&lt;&gt;"",L54&lt;=Setup!$I$4+Setup!$I$9),"Follow-up due soon",IF(AND(J54&lt;&gt;"",Setup!$I$4-J54&gt;Setup!$I$8),"Contact may be stale",""))))))))))</f>
        <v/>
      </c>
    </row>
    <row r="55" ht="22" customHeight="1">
      <c r="A55" s="13" t="n"/>
      <c r="B55" s="14" t="n"/>
      <c r="C55" s="15" t="n"/>
      <c r="D55" s="14" t="n"/>
      <c r="E55" s="14" t="n"/>
      <c r="F55" s="14" t="n"/>
      <c r="G55" s="14" t="n"/>
      <c r="H55" s="15" t="n"/>
      <c r="I55" s="13" t="n"/>
      <c r="J55" s="14" t="n"/>
      <c r="K55" s="15" t="n"/>
      <c r="L55" s="14" t="n"/>
      <c r="M55" s="16">
        <f>IF(OR(D55="",E55=""),"",12*(YEAR(E55)-YEAR(D55))+MONTH(E55)-MONTH(D55)-IF(DAY(E55)&lt;DAY(D55),1,0))</f>
        <v/>
      </c>
      <c r="N55" s="17">
        <f>IF(M55="","",IFERROR(IF(M55&lt;=VLOOKUP(M55,Setup!$A$4:$C$7,3,TRUE),VLOOKUP(M55,Setup!$A$4:$C$7,2,TRUE),"Outside configured ranges"),"Outside configured ranges"))</f>
        <v/>
      </c>
      <c r="O55" s="16">
        <f>IF(OR(B55="",B55&gt;Setup!$I$4),"",Setup!$I$4-B55)</f>
        <v/>
      </c>
      <c r="P55" s="16">
        <f>IF(G55="","",G55-Setup!$I$4)</f>
        <v/>
      </c>
      <c r="Q55" s="27">
        <f>IF(K55="","",IFERROR(VLOOKUP(K55,Setup!$E$4:$F$9,2,FALSE),""))</f>
        <v/>
      </c>
      <c r="R55" s="17">
        <f>IF(A55="","",IF(OR(B55="",C55="",D55="",E55="",F55="",G55="",H55="",I55="",K55=""),"Incomplete",IF(COUNTIF(Setup!$K$4:$K$8,I55)=0,"Invalid status",IF(COUNTIF(Setup!$L$4:$L$8,H55)=0,"Invalid schedule",IF(COUNTIF(Setup!$E$4:$E$9,K55)=0,"Invalid contact outcome",IF(I55&lt;&gt;"Active","Not active",IF(B55&gt;Setup!$I$4,"Future waitlist date",IF(D55&gt;E55,"Invalid age/date",IF(F55&gt;G55,"Invalid window",IF(OR(E55&lt;F55,E55&gt;G55),"Preferred date outside window",IF(G55&lt;Setup!$I$4,"Window expired",IF(OR(M55="",N55="Outside configured ranges"),"Outside age bands","Ready"))))))))))))</f>
        <v/>
      </c>
      <c r="S55" s="27">
        <f>IF(R55&lt;&gt;"Ready","",ROUND(O55*Setup!$I$5+MAX(0,Setup!$I$6-MAX(0,P55))*Setup!$I$7+Q55,1))</f>
        <v/>
      </c>
      <c r="T55" s="16">
        <f>IF(S55="","",1+COUNTIFS($R$2:$R$201,"Ready",$N$2:$N$201,N55,$S$2:$S$201,"&gt;"&amp;S55)+COUNTIFS($R$2:$R$201,"Ready",$N$2:$N$201,N55,$S$2:$S$201,"="&amp;S55,$B$2:$B$201,"&lt;"&amp;B55)+COUNTIFS($R$2:$R$201,"Ready",$N$2:$N$201,N55,$S$2:$S$201,"="&amp;S55,$B$2:$B$201,"="&amp;B55,$A$2:$A$201,"&lt;"&amp;A55))</f>
        <v/>
      </c>
      <c r="U55" s="17">
        <f>IF(A55="","",IF(R55&lt;&gt;"Ready",R55,IF(AND(K55="Not Contacted",J55&lt;&gt;""),"Clear last contact date or update outcome",IF(AND(K55&lt;&gt;"Not Contacted",J55=""),"Add last contact date",IF(AND(J55&lt;&gt;"",J55&gt;Setup!$I$4),"Last contact is after review date",IF(K55="Declined","Align status with declined outcome",IF(AND(L55&lt;&gt;"",L55&gt;G55),"Follow-up is after latest start",IF(AND(L55&lt;&gt;"",L55&lt;Setup!$I$4),"Follow-up overdue",IF(AND(L55&lt;&gt;"",L55&lt;=Setup!$I$4+Setup!$I$9),"Follow-up due soon",IF(AND(J55&lt;&gt;"",Setup!$I$4-J55&gt;Setup!$I$8),"Contact may be stale",""))))))))))</f>
        <v/>
      </c>
    </row>
    <row r="56" ht="22" customHeight="1">
      <c r="A56" s="13" t="n"/>
      <c r="B56" s="14" t="n"/>
      <c r="C56" s="15" t="n"/>
      <c r="D56" s="14" t="n"/>
      <c r="E56" s="14" t="n"/>
      <c r="F56" s="14" t="n"/>
      <c r="G56" s="14" t="n"/>
      <c r="H56" s="15" t="n"/>
      <c r="I56" s="13" t="n"/>
      <c r="J56" s="14" t="n"/>
      <c r="K56" s="15" t="n"/>
      <c r="L56" s="14" t="n"/>
      <c r="M56" s="16">
        <f>IF(OR(D56="",E56=""),"",12*(YEAR(E56)-YEAR(D56))+MONTH(E56)-MONTH(D56)-IF(DAY(E56)&lt;DAY(D56),1,0))</f>
        <v/>
      </c>
      <c r="N56" s="17">
        <f>IF(M56="","",IFERROR(IF(M56&lt;=VLOOKUP(M56,Setup!$A$4:$C$7,3,TRUE),VLOOKUP(M56,Setup!$A$4:$C$7,2,TRUE),"Outside configured ranges"),"Outside configured ranges"))</f>
        <v/>
      </c>
      <c r="O56" s="16">
        <f>IF(OR(B56="",B56&gt;Setup!$I$4),"",Setup!$I$4-B56)</f>
        <v/>
      </c>
      <c r="P56" s="16">
        <f>IF(G56="","",G56-Setup!$I$4)</f>
        <v/>
      </c>
      <c r="Q56" s="27">
        <f>IF(K56="","",IFERROR(VLOOKUP(K56,Setup!$E$4:$F$9,2,FALSE),""))</f>
        <v/>
      </c>
      <c r="R56" s="17">
        <f>IF(A56="","",IF(OR(B56="",C56="",D56="",E56="",F56="",G56="",H56="",I56="",K56=""),"Incomplete",IF(COUNTIF(Setup!$K$4:$K$8,I56)=0,"Invalid status",IF(COUNTIF(Setup!$L$4:$L$8,H56)=0,"Invalid schedule",IF(COUNTIF(Setup!$E$4:$E$9,K56)=0,"Invalid contact outcome",IF(I56&lt;&gt;"Active","Not active",IF(B56&gt;Setup!$I$4,"Future waitlist date",IF(D56&gt;E56,"Invalid age/date",IF(F56&gt;G56,"Invalid window",IF(OR(E56&lt;F56,E56&gt;G56),"Preferred date outside window",IF(G56&lt;Setup!$I$4,"Window expired",IF(OR(M56="",N56="Outside configured ranges"),"Outside age bands","Ready"))))))))))))</f>
        <v/>
      </c>
      <c r="S56" s="27">
        <f>IF(R56&lt;&gt;"Ready","",ROUND(O56*Setup!$I$5+MAX(0,Setup!$I$6-MAX(0,P56))*Setup!$I$7+Q56,1))</f>
        <v/>
      </c>
      <c r="T56" s="16">
        <f>IF(S56="","",1+COUNTIFS($R$2:$R$201,"Ready",$N$2:$N$201,N56,$S$2:$S$201,"&gt;"&amp;S56)+COUNTIFS($R$2:$R$201,"Ready",$N$2:$N$201,N56,$S$2:$S$201,"="&amp;S56,$B$2:$B$201,"&lt;"&amp;B56)+COUNTIFS($R$2:$R$201,"Ready",$N$2:$N$201,N56,$S$2:$S$201,"="&amp;S56,$B$2:$B$201,"="&amp;B56,$A$2:$A$201,"&lt;"&amp;A56))</f>
        <v/>
      </c>
      <c r="U56" s="17">
        <f>IF(A56="","",IF(R56&lt;&gt;"Ready",R56,IF(AND(K56="Not Contacted",J56&lt;&gt;""),"Clear last contact date or update outcome",IF(AND(K56&lt;&gt;"Not Contacted",J56=""),"Add last contact date",IF(AND(J56&lt;&gt;"",J56&gt;Setup!$I$4),"Last contact is after review date",IF(K56="Declined","Align status with declined outcome",IF(AND(L56&lt;&gt;"",L56&gt;G56),"Follow-up is after latest start",IF(AND(L56&lt;&gt;"",L56&lt;Setup!$I$4),"Follow-up overdue",IF(AND(L56&lt;&gt;"",L56&lt;=Setup!$I$4+Setup!$I$9),"Follow-up due soon",IF(AND(J56&lt;&gt;"",Setup!$I$4-J56&gt;Setup!$I$8),"Contact may be stale",""))))))))))</f>
        <v/>
      </c>
    </row>
    <row r="57" ht="22" customHeight="1">
      <c r="A57" s="13" t="n"/>
      <c r="B57" s="14" t="n"/>
      <c r="C57" s="15" t="n"/>
      <c r="D57" s="14" t="n"/>
      <c r="E57" s="14" t="n"/>
      <c r="F57" s="14" t="n"/>
      <c r="G57" s="14" t="n"/>
      <c r="H57" s="15" t="n"/>
      <c r="I57" s="13" t="n"/>
      <c r="J57" s="14" t="n"/>
      <c r="K57" s="15" t="n"/>
      <c r="L57" s="14" t="n"/>
      <c r="M57" s="16">
        <f>IF(OR(D57="",E57=""),"",12*(YEAR(E57)-YEAR(D57))+MONTH(E57)-MONTH(D57)-IF(DAY(E57)&lt;DAY(D57),1,0))</f>
        <v/>
      </c>
      <c r="N57" s="17">
        <f>IF(M57="","",IFERROR(IF(M57&lt;=VLOOKUP(M57,Setup!$A$4:$C$7,3,TRUE),VLOOKUP(M57,Setup!$A$4:$C$7,2,TRUE),"Outside configured ranges"),"Outside configured ranges"))</f>
        <v/>
      </c>
      <c r="O57" s="16">
        <f>IF(OR(B57="",B57&gt;Setup!$I$4),"",Setup!$I$4-B57)</f>
        <v/>
      </c>
      <c r="P57" s="16">
        <f>IF(G57="","",G57-Setup!$I$4)</f>
        <v/>
      </c>
      <c r="Q57" s="27">
        <f>IF(K57="","",IFERROR(VLOOKUP(K57,Setup!$E$4:$F$9,2,FALSE),""))</f>
        <v/>
      </c>
      <c r="R57" s="17">
        <f>IF(A57="","",IF(OR(B57="",C57="",D57="",E57="",F57="",G57="",H57="",I57="",K57=""),"Incomplete",IF(COUNTIF(Setup!$K$4:$K$8,I57)=0,"Invalid status",IF(COUNTIF(Setup!$L$4:$L$8,H57)=0,"Invalid schedule",IF(COUNTIF(Setup!$E$4:$E$9,K57)=0,"Invalid contact outcome",IF(I57&lt;&gt;"Active","Not active",IF(B57&gt;Setup!$I$4,"Future waitlist date",IF(D57&gt;E57,"Invalid age/date",IF(F57&gt;G57,"Invalid window",IF(OR(E57&lt;F57,E57&gt;G57),"Preferred date outside window",IF(G57&lt;Setup!$I$4,"Window expired",IF(OR(M57="",N57="Outside configured ranges"),"Outside age bands","Ready"))))))))))))</f>
        <v/>
      </c>
      <c r="S57" s="27">
        <f>IF(R57&lt;&gt;"Ready","",ROUND(O57*Setup!$I$5+MAX(0,Setup!$I$6-MAX(0,P57))*Setup!$I$7+Q57,1))</f>
        <v/>
      </c>
      <c r="T57" s="16">
        <f>IF(S57="","",1+COUNTIFS($R$2:$R$201,"Ready",$N$2:$N$201,N57,$S$2:$S$201,"&gt;"&amp;S57)+COUNTIFS($R$2:$R$201,"Ready",$N$2:$N$201,N57,$S$2:$S$201,"="&amp;S57,$B$2:$B$201,"&lt;"&amp;B57)+COUNTIFS($R$2:$R$201,"Ready",$N$2:$N$201,N57,$S$2:$S$201,"="&amp;S57,$B$2:$B$201,"="&amp;B57,$A$2:$A$201,"&lt;"&amp;A57))</f>
        <v/>
      </c>
      <c r="U57" s="17">
        <f>IF(A57="","",IF(R57&lt;&gt;"Ready",R57,IF(AND(K57="Not Contacted",J57&lt;&gt;""),"Clear last contact date or update outcome",IF(AND(K57&lt;&gt;"Not Contacted",J57=""),"Add last contact date",IF(AND(J57&lt;&gt;"",J57&gt;Setup!$I$4),"Last contact is after review date",IF(K57="Declined","Align status with declined outcome",IF(AND(L57&lt;&gt;"",L57&gt;G57),"Follow-up is after latest start",IF(AND(L57&lt;&gt;"",L57&lt;Setup!$I$4),"Follow-up overdue",IF(AND(L57&lt;&gt;"",L57&lt;=Setup!$I$4+Setup!$I$9),"Follow-up due soon",IF(AND(J57&lt;&gt;"",Setup!$I$4-J57&gt;Setup!$I$8),"Contact may be stale",""))))))))))</f>
        <v/>
      </c>
    </row>
    <row r="58" ht="22" customHeight="1">
      <c r="A58" s="13" t="n"/>
      <c r="B58" s="14" t="n"/>
      <c r="C58" s="15" t="n"/>
      <c r="D58" s="14" t="n"/>
      <c r="E58" s="14" t="n"/>
      <c r="F58" s="14" t="n"/>
      <c r="G58" s="14" t="n"/>
      <c r="H58" s="15" t="n"/>
      <c r="I58" s="13" t="n"/>
      <c r="J58" s="14" t="n"/>
      <c r="K58" s="15" t="n"/>
      <c r="L58" s="14" t="n"/>
      <c r="M58" s="16">
        <f>IF(OR(D58="",E58=""),"",12*(YEAR(E58)-YEAR(D58))+MONTH(E58)-MONTH(D58)-IF(DAY(E58)&lt;DAY(D58),1,0))</f>
        <v/>
      </c>
      <c r="N58" s="17">
        <f>IF(M58="","",IFERROR(IF(M58&lt;=VLOOKUP(M58,Setup!$A$4:$C$7,3,TRUE),VLOOKUP(M58,Setup!$A$4:$C$7,2,TRUE),"Outside configured ranges"),"Outside configured ranges"))</f>
        <v/>
      </c>
      <c r="O58" s="16">
        <f>IF(OR(B58="",B58&gt;Setup!$I$4),"",Setup!$I$4-B58)</f>
        <v/>
      </c>
      <c r="P58" s="16">
        <f>IF(G58="","",G58-Setup!$I$4)</f>
        <v/>
      </c>
      <c r="Q58" s="27">
        <f>IF(K58="","",IFERROR(VLOOKUP(K58,Setup!$E$4:$F$9,2,FALSE),""))</f>
        <v/>
      </c>
      <c r="R58" s="17">
        <f>IF(A58="","",IF(OR(B58="",C58="",D58="",E58="",F58="",G58="",H58="",I58="",K58=""),"Incomplete",IF(COUNTIF(Setup!$K$4:$K$8,I58)=0,"Invalid status",IF(COUNTIF(Setup!$L$4:$L$8,H58)=0,"Invalid schedule",IF(COUNTIF(Setup!$E$4:$E$9,K58)=0,"Invalid contact outcome",IF(I58&lt;&gt;"Active","Not active",IF(B58&gt;Setup!$I$4,"Future waitlist date",IF(D58&gt;E58,"Invalid age/date",IF(F58&gt;G58,"Invalid window",IF(OR(E58&lt;F58,E58&gt;G58),"Preferred date outside window",IF(G58&lt;Setup!$I$4,"Window expired",IF(OR(M58="",N58="Outside configured ranges"),"Outside age bands","Ready"))))))))))))</f>
        <v/>
      </c>
      <c r="S58" s="27">
        <f>IF(R58&lt;&gt;"Ready","",ROUND(O58*Setup!$I$5+MAX(0,Setup!$I$6-MAX(0,P58))*Setup!$I$7+Q58,1))</f>
        <v/>
      </c>
      <c r="T58" s="16">
        <f>IF(S58="","",1+COUNTIFS($R$2:$R$201,"Ready",$N$2:$N$201,N58,$S$2:$S$201,"&gt;"&amp;S58)+COUNTIFS($R$2:$R$201,"Ready",$N$2:$N$201,N58,$S$2:$S$201,"="&amp;S58,$B$2:$B$201,"&lt;"&amp;B58)+COUNTIFS($R$2:$R$201,"Ready",$N$2:$N$201,N58,$S$2:$S$201,"="&amp;S58,$B$2:$B$201,"="&amp;B58,$A$2:$A$201,"&lt;"&amp;A58))</f>
        <v/>
      </c>
      <c r="U58" s="17">
        <f>IF(A58="","",IF(R58&lt;&gt;"Ready",R58,IF(AND(K58="Not Contacted",J58&lt;&gt;""),"Clear last contact date or update outcome",IF(AND(K58&lt;&gt;"Not Contacted",J58=""),"Add last contact date",IF(AND(J58&lt;&gt;"",J58&gt;Setup!$I$4),"Last contact is after review date",IF(K58="Declined","Align status with declined outcome",IF(AND(L58&lt;&gt;"",L58&gt;G58),"Follow-up is after latest start",IF(AND(L58&lt;&gt;"",L58&lt;Setup!$I$4),"Follow-up overdue",IF(AND(L58&lt;&gt;"",L58&lt;=Setup!$I$4+Setup!$I$9),"Follow-up due soon",IF(AND(J58&lt;&gt;"",Setup!$I$4-J58&gt;Setup!$I$8),"Contact may be stale",""))))))))))</f>
        <v/>
      </c>
    </row>
    <row r="59" ht="22" customHeight="1">
      <c r="A59" s="13" t="n"/>
      <c r="B59" s="14" t="n"/>
      <c r="C59" s="15" t="n"/>
      <c r="D59" s="14" t="n"/>
      <c r="E59" s="14" t="n"/>
      <c r="F59" s="14" t="n"/>
      <c r="G59" s="14" t="n"/>
      <c r="H59" s="15" t="n"/>
      <c r="I59" s="13" t="n"/>
      <c r="J59" s="14" t="n"/>
      <c r="K59" s="15" t="n"/>
      <c r="L59" s="14" t="n"/>
      <c r="M59" s="16">
        <f>IF(OR(D59="",E59=""),"",12*(YEAR(E59)-YEAR(D59))+MONTH(E59)-MONTH(D59)-IF(DAY(E59)&lt;DAY(D59),1,0))</f>
        <v/>
      </c>
      <c r="N59" s="17">
        <f>IF(M59="","",IFERROR(IF(M59&lt;=VLOOKUP(M59,Setup!$A$4:$C$7,3,TRUE),VLOOKUP(M59,Setup!$A$4:$C$7,2,TRUE),"Outside configured ranges"),"Outside configured ranges"))</f>
        <v/>
      </c>
      <c r="O59" s="16">
        <f>IF(OR(B59="",B59&gt;Setup!$I$4),"",Setup!$I$4-B59)</f>
        <v/>
      </c>
      <c r="P59" s="16">
        <f>IF(G59="","",G59-Setup!$I$4)</f>
        <v/>
      </c>
      <c r="Q59" s="27">
        <f>IF(K59="","",IFERROR(VLOOKUP(K59,Setup!$E$4:$F$9,2,FALSE),""))</f>
        <v/>
      </c>
      <c r="R59" s="17">
        <f>IF(A59="","",IF(OR(B59="",C59="",D59="",E59="",F59="",G59="",H59="",I59="",K59=""),"Incomplete",IF(COUNTIF(Setup!$K$4:$K$8,I59)=0,"Invalid status",IF(COUNTIF(Setup!$L$4:$L$8,H59)=0,"Invalid schedule",IF(COUNTIF(Setup!$E$4:$E$9,K59)=0,"Invalid contact outcome",IF(I59&lt;&gt;"Active","Not active",IF(B59&gt;Setup!$I$4,"Future waitlist date",IF(D59&gt;E59,"Invalid age/date",IF(F59&gt;G59,"Invalid window",IF(OR(E59&lt;F59,E59&gt;G59),"Preferred date outside window",IF(G59&lt;Setup!$I$4,"Window expired",IF(OR(M59="",N59="Outside configured ranges"),"Outside age bands","Ready"))))))))))))</f>
        <v/>
      </c>
      <c r="S59" s="27">
        <f>IF(R59&lt;&gt;"Ready","",ROUND(O59*Setup!$I$5+MAX(0,Setup!$I$6-MAX(0,P59))*Setup!$I$7+Q59,1))</f>
        <v/>
      </c>
      <c r="T59" s="16">
        <f>IF(S59="","",1+COUNTIFS($R$2:$R$201,"Ready",$N$2:$N$201,N59,$S$2:$S$201,"&gt;"&amp;S59)+COUNTIFS($R$2:$R$201,"Ready",$N$2:$N$201,N59,$S$2:$S$201,"="&amp;S59,$B$2:$B$201,"&lt;"&amp;B59)+COUNTIFS($R$2:$R$201,"Ready",$N$2:$N$201,N59,$S$2:$S$201,"="&amp;S59,$B$2:$B$201,"="&amp;B59,$A$2:$A$201,"&lt;"&amp;A59))</f>
        <v/>
      </c>
      <c r="U59" s="17">
        <f>IF(A59="","",IF(R59&lt;&gt;"Ready",R59,IF(AND(K59="Not Contacted",J59&lt;&gt;""),"Clear last contact date or update outcome",IF(AND(K59&lt;&gt;"Not Contacted",J59=""),"Add last contact date",IF(AND(J59&lt;&gt;"",J59&gt;Setup!$I$4),"Last contact is after review date",IF(K59="Declined","Align status with declined outcome",IF(AND(L59&lt;&gt;"",L59&gt;G59),"Follow-up is after latest start",IF(AND(L59&lt;&gt;"",L59&lt;Setup!$I$4),"Follow-up overdue",IF(AND(L59&lt;&gt;"",L59&lt;=Setup!$I$4+Setup!$I$9),"Follow-up due soon",IF(AND(J59&lt;&gt;"",Setup!$I$4-J59&gt;Setup!$I$8),"Contact may be stale",""))))))))))</f>
        <v/>
      </c>
    </row>
    <row r="60" ht="22" customHeight="1">
      <c r="A60" s="13" t="n"/>
      <c r="B60" s="14" t="n"/>
      <c r="C60" s="15" t="n"/>
      <c r="D60" s="14" t="n"/>
      <c r="E60" s="14" t="n"/>
      <c r="F60" s="14" t="n"/>
      <c r="G60" s="14" t="n"/>
      <c r="H60" s="15" t="n"/>
      <c r="I60" s="13" t="n"/>
      <c r="J60" s="14" t="n"/>
      <c r="K60" s="15" t="n"/>
      <c r="L60" s="14" t="n"/>
      <c r="M60" s="16">
        <f>IF(OR(D60="",E60=""),"",12*(YEAR(E60)-YEAR(D60))+MONTH(E60)-MONTH(D60)-IF(DAY(E60)&lt;DAY(D60),1,0))</f>
        <v/>
      </c>
      <c r="N60" s="17">
        <f>IF(M60="","",IFERROR(IF(M60&lt;=VLOOKUP(M60,Setup!$A$4:$C$7,3,TRUE),VLOOKUP(M60,Setup!$A$4:$C$7,2,TRUE),"Outside configured ranges"),"Outside configured ranges"))</f>
        <v/>
      </c>
      <c r="O60" s="16">
        <f>IF(OR(B60="",B60&gt;Setup!$I$4),"",Setup!$I$4-B60)</f>
        <v/>
      </c>
      <c r="P60" s="16">
        <f>IF(G60="","",G60-Setup!$I$4)</f>
        <v/>
      </c>
      <c r="Q60" s="27">
        <f>IF(K60="","",IFERROR(VLOOKUP(K60,Setup!$E$4:$F$9,2,FALSE),""))</f>
        <v/>
      </c>
      <c r="R60" s="17">
        <f>IF(A60="","",IF(OR(B60="",C60="",D60="",E60="",F60="",G60="",H60="",I60="",K60=""),"Incomplete",IF(COUNTIF(Setup!$K$4:$K$8,I60)=0,"Invalid status",IF(COUNTIF(Setup!$L$4:$L$8,H60)=0,"Invalid schedule",IF(COUNTIF(Setup!$E$4:$E$9,K60)=0,"Invalid contact outcome",IF(I60&lt;&gt;"Active","Not active",IF(B60&gt;Setup!$I$4,"Future waitlist date",IF(D60&gt;E60,"Invalid age/date",IF(F60&gt;G60,"Invalid window",IF(OR(E60&lt;F60,E60&gt;G60),"Preferred date outside window",IF(G60&lt;Setup!$I$4,"Window expired",IF(OR(M60="",N60="Outside configured ranges"),"Outside age bands","Ready"))))))))))))</f>
        <v/>
      </c>
      <c r="S60" s="27">
        <f>IF(R60&lt;&gt;"Ready","",ROUND(O60*Setup!$I$5+MAX(0,Setup!$I$6-MAX(0,P60))*Setup!$I$7+Q60,1))</f>
        <v/>
      </c>
      <c r="T60" s="16">
        <f>IF(S60="","",1+COUNTIFS($R$2:$R$201,"Ready",$N$2:$N$201,N60,$S$2:$S$201,"&gt;"&amp;S60)+COUNTIFS($R$2:$R$201,"Ready",$N$2:$N$201,N60,$S$2:$S$201,"="&amp;S60,$B$2:$B$201,"&lt;"&amp;B60)+COUNTIFS($R$2:$R$201,"Ready",$N$2:$N$201,N60,$S$2:$S$201,"="&amp;S60,$B$2:$B$201,"="&amp;B60,$A$2:$A$201,"&lt;"&amp;A60))</f>
        <v/>
      </c>
      <c r="U60" s="17">
        <f>IF(A60="","",IF(R60&lt;&gt;"Ready",R60,IF(AND(K60="Not Contacted",J60&lt;&gt;""),"Clear last contact date or update outcome",IF(AND(K60&lt;&gt;"Not Contacted",J60=""),"Add last contact date",IF(AND(J60&lt;&gt;"",J60&gt;Setup!$I$4),"Last contact is after review date",IF(K60="Declined","Align status with declined outcome",IF(AND(L60&lt;&gt;"",L60&gt;G60),"Follow-up is after latest start",IF(AND(L60&lt;&gt;"",L60&lt;Setup!$I$4),"Follow-up overdue",IF(AND(L60&lt;&gt;"",L60&lt;=Setup!$I$4+Setup!$I$9),"Follow-up due soon",IF(AND(J60&lt;&gt;"",Setup!$I$4-J60&gt;Setup!$I$8),"Contact may be stale",""))))))))))</f>
        <v/>
      </c>
    </row>
    <row r="61" ht="22" customHeight="1">
      <c r="A61" s="13" t="n"/>
      <c r="B61" s="14" t="n"/>
      <c r="C61" s="15" t="n"/>
      <c r="D61" s="14" t="n"/>
      <c r="E61" s="14" t="n"/>
      <c r="F61" s="14" t="n"/>
      <c r="G61" s="14" t="n"/>
      <c r="H61" s="15" t="n"/>
      <c r="I61" s="13" t="n"/>
      <c r="J61" s="14" t="n"/>
      <c r="K61" s="15" t="n"/>
      <c r="L61" s="14" t="n"/>
      <c r="M61" s="16">
        <f>IF(OR(D61="",E61=""),"",12*(YEAR(E61)-YEAR(D61))+MONTH(E61)-MONTH(D61)-IF(DAY(E61)&lt;DAY(D61),1,0))</f>
        <v/>
      </c>
      <c r="N61" s="17">
        <f>IF(M61="","",IFERROR(IF(M61&lt;=VLOOKUP(M61,Setup!$A$4:$C$7,3,TRUE),VLOOKUP(M61,Setup!$A$4:$C$7,2,TRUE),"Outside configured ranges"),"Outside configured ranges"))</f>
        <v/>
      </c>
      <c r="O61" s="16">
        <f>IF(OR(B61="",B61&gt;Setup!$I$4),"",Setup!$I$4-B61)</f>
        <v/>
      </c>
      <c r="P61" s="16">
        <f>IF(G61="","",G61-Setup!$I$4)</f>
        <v/>
      </c>
      <c r="Q61" s="27">
        <f>IF(K61="","",IFERROR(VLOOKUP(K61,Setup!$E$4:$F$9,2,FALSE),""))</f>
        <v/>
      </c>
      <c r="R61" s="17">
        <f>IF(A61="","",IF(OR(B61="",C61="",D61="",E61="",F61="",G61="",H61="",I61="",K61=""),"Incomplete",IF(COUNTIF(Setup!$K$4:$K$8,I61)=0,"Invalid status",IF(COUNTIF(Setup!$L$4:$L$8,H61)=0,"Invalid schedule",IF(COUNTIF(Setup!$E$4:$E$9,K61)=0,"Invalid contact outcome",IF(I61&lt;&gt;"Active","Not active",IF(B61&gt;Setup!$I$4,"Future waitlist date",IF(D61&gt;E61,"Invalid age/date",IF(F61&gt;G61,"Invalid window",IF(OR(E61&lt;F61,E61&gt;G61),"Preferred date outside window",IF(G61&lt;Setup!$I$4,"Window expired",IF(OR(M61="",N61="Outside configured ranges"),"Outside age bands","Ready"))))))))))))</f>
        <v/>
      </c>
      <c r="S61" s="27">
        <f>IF(R61&lt;&gt;"Ready","",ROUND(O61*Setup!$I$5+MAX(0,Setup!$I$6-MAX(0,P61))*Setup!$I$7+Q61,1))</f>
        <v/>
      </c>
      <c r="T61" s="16">
        <f>IF(S61="","",1+COUNTIFS($R$2:$R$201,"Ready",$N$2:$N$201,N61,$S$2:$S$201,"&gt;"&amp;S61)+COUNTIFS($R$2:$R$201,"Ready",$N$2:$N$201,N61,$S$2:$S$201,"="&amp;S61,$B$2:$B$201,"&lt;"&amp;B61)+COUNTIFS($R$2:$R$201,"Ready",$N$2:$N$201,N61,$S$2:$S$201,"="&amp;S61,$B$2:$B$201,"="&amp;B61,$A$2:$A$201,"&lt;"&amp;A61))</f>
        <v/>
      </c>
      <c r="U61" s="17">
        <f>IF(A61="","",IF(R61&lt;&gt;"Ready",R61,IF(AND(K61="Not Contacted",J61&lt;&gt;""),"Clear last contact date or update outcome",IF(AND(K61&lt;&gt;"Not Contacted",J61=""),"Add last contact date",IF(AND(J61&lt;&gt;"",J61&gt;Setup!$I$4),"Last contact is after review date",IF(K61="Declined","Align status with declined outcome",IF(AND(L61&lt;&gt;"",L61&gt;G61),"Follow-up is after latest start",IF(AND(L61&lt;&gt;"",L61&lt;Setup!$I$4),"Follow-up overdue",IF(AND(L61&lt;&gt;"",L61&lt;=Setup!$I$4+Setup!$I$9),"Follow-up due soon",IF(AND(J61&lt;&gt;"",Setup!$I$4-J61&gt;Setup!$I$8),"Contact may be stale",""))))))))))</f>
        <v/>
      </c>
    </row>
    <row r="62" ht="22" customHeight="1">
      <c r="A62" s="13" t="n"/>
      <c r="B62" s="14" t="n"/>
      <c r="C62" s="15" t="n"/>
      <c r="D62" s="14" t="n"/>
      <c r="E62" s="14" t="n"/>
      <c r="F62" s="14" t="n"/>
      <c r="G62" s="14" t="n"/>
      <c r="H62" s="15" t="n"/>
      <c r="I62" s="13" t="n"/>
      <c r="J62" s="14" t="n"/>
      <c r="K62" s="15" t="n"/>
      <c r="L62" s="14" t="n"/>
      <c r="M62" s="16">
        <f>IF(OR(D62="",E62=""),"",12*(YEAR(E62)-YEAR(D62))+MONTH(E62)-MONTH(D62)-IF(DAY(E62)&lt;DAY(D62),1,0))</f>
        <v/>
      </c>
      <c r="N62" s="17">
        <f>IF(M62="","",IFERROR(IF(M62&lt;=VLOOKUP(M62,Setup!$A$4:$C$7,3,TRUE),VLOOKUP(M62,Setup!$A$4:$C$7,2,TRUE),"Outside configured ranges"),"Outside configured ranges"))</f>
        <v/>
      </c>
      <c r="O62" s="16">
        <f>IF(OR(B62="",B62&gt;Setup!$I$4),"",Setup!$I$4-B62)</f>
        <v/>
      </c>
      <c r="P62" s="16">
        <f>IF(G62="","",G62-Setup!$I$4)</f>
        <v/>
      </c>
      <c r="Q62" s="27">
        <f>IF(K62="","",IFERROR(VLOOKUP(K62,Setup!$E$4:$F$9,2,FALSE),""))</f>
        <v/>
      </c>
      <c r="R62" s="17">
        <f>IF(A62="","",IF(OR(B62="",C62="",D62="",E62="",F62="",G62="",H62="",I62="",K62=""),"Incomplete",IF(COUNTIF(Setup!$K$4:$K$8,I62)=0,"Invalid status",IF(COUNTIF(Setup!$L$4:$L$8,H62)=0,"Invalid schedule",IF(COUNTIF(Setup!$E$4:$E$9,K62)=0,"Invalid contact outcome",IF(I62&lt;&gt;"Active","Not active",IF(B62&gt;Setup!$I$4,"Future waitlist date",IF(D62&gt;E62,"Invalid age/date",IF(F62&gt;G62,"Invalid window",IF(OR(E62&lt;F62,E62&gt;G62),"Preferred date outside window",IF(G62&lt;Setup!$I$4,"Window expired",IF(OR(M62="",N62="Outside configured ranges"),"Outside age bands","Ready"))))))))))))</f>
        <v/>
      </c>
      <c r="S62" s="27">
        <f>IF(R62&lt;&gt;"Ready","",ROUND(O62*Setup!$I$5+MAX(0,Setup!$I$6-MAX(0,P62))*Setup!$I$7+Q62,1))</f>
        <v/>
      </c>
      <c r="T62" s="16">
        <f>IF(S62="","",1+COUNTIFS($R$2:$R$201,"Ready",$N$2:$N$201,N62,$S$2:$S$201,"&gt;"&amp;S62)+COUNTIFS($R$2:$R$201,"Ready",$N$2:$N$201,N62,$S$2:$S$201,"="&amp;S62,$B$2:$B$201,"&lt;"&amp;B62)+COUNTIFS($R$2:$R$201,"Ready",$N$2:$N$201,N62,$S$2:$S$201,"="&amp;S62,$B$2:$B$201,"="&amp;B62,$A$2:$A$201,"&lt;"&amp;A62))</f>
        <v/>
      </c>
      <c r="U62" s="17">
        <f>IF(A62="","",IF(R62&lt;&gt;"Ready",R62,IF(AND(K62="Not Contacted",J62&lt;&gt;""),"Clear last contact date or update outcome",IF(AND(K62&lt;&gt;"Not Contacted",J62=""),"Add last contact date",IF(AND(J62&lt;&gt;"",J62&gt;Setup!$I$4),"Last contact is after review date",IF(K62="Declined","Align status with declined outcome",IF(AND(L62&lt;&gt;"",L62&gt;G62),"Follow-up is after latest start",IF(AND(L62&lt;&gt;"",L62&lt;Setup!$I$4),"Follow-up overdue",IF(AND(L62&lt;&gt;"",L62&lt;=Setup!$I$4+Setup!$I$9),"Follow-up due soon",IF(AND(J62&lt;&gt;"",Setup!$I$4-J62&gt;Setup!$I$8),"Contact may be stale",""))))))))))</f>
        <v/>
      </c>
    </row>
    <row r="63" ht="22" customHeight="1">
      <c r="A63" s="13" t="n"/>
      <c r="B63" s="14" t="n"/>
      <c r="C63" s="15" t="n"/>
      <c r="D63" s="14" t="n"/>
      <c r="E63" s="14" t="n"/>
      <c r="F63" s="14" t="n"/>
      <c r="G63" s="14" t="n"/>
      <c r="H63" s="15" t="n"/>
      <c r="I63" s="13" t="n"/>
      <c r="J63" s="14" t="n"/>
      <c r="K63" s="15" t="n"/>
      <c r="L63" s="14" t="n"/>
      <c r="M63" s="16">
        <f>IF(OR(D63="",E63=""),"",12*(YEAR(E63)-YEAR(D63))+MONTH(E63)-MONTH(D63)-IF(DAY(E63)&lt;DAY(D63),1,0))</f>
        <v/>
      </c>
      <c r="N63" s="17">
        <f>IF(M63="","",IFERROR(IF(M63&lt;=VLOOKUP(M63,Setup!$A$4:$C$7,3,TRUE),VLOOKUP(M63,Setup!$A$4:$C$7,2,TRUE),"Outside configured ranges"),"Outside configured ranges"))</f>
        <v/>
      </c>
      <c r="O63" s="16">
        <f>IF(OR(B63="",B63&gt;Setup!$I$4),"",Setup!$I$4-B63)</f>
        <v/>
      </c>
      <c r="P63" s="16">
        <f>IF(G63="","",G63-Setup!$I$4)</f>
        <v/>
      </c>
      <c r="Q63" s="27">
        <f>IF(K63="","",IFERROR(VLOOKUP(K63,Setup!$E$4:$F$9,2,FALSE),""))</f>
        <v/>
      </c>
      <c r="R63" s="17">
        <f>IF(A63="","",IF(OR(B63="",C63="",D63="",E63="",F63="",G63="",H63="",I63="",K63=""),"Incomplete",IF(COUNTIF(Setup!$K$4:$K$8,I63)=0,"Invalid status",IF(COUNTIF(Setup!$L$4:$L$8,H63)=0,"Invalid schedule",IF(COUNTIF(Setup!$E$4:$E$9,K63)=0,"Invalid contact outcome",IF(I63&lt;&gt;"Active","Not active",IF(B63&gt;Setup!$I$4,"Future waitlist date",IF(D63&gt;E63,"Invalid age/date",IF(F63&gt;G63,"Invalid window",IF(OR(E63&lt;F63,E63&gt;G63),"Preferred date outside window",IF(G63&lt;Setup!$I$4,"Window expired",IF(OR(M63="",N63="Outside configured ranges"),"Outside age bands","Ready"))))))))))))</f>
        <v/>
      </c>
      <c r="S63" s="27">
        <f>IF(R63&lt;&gt;"Ready","",ROUND(O63*Setup!$I$5+MAX(0,Setup!$I$6-MAX(0,P63))*Setup!$I$7+Q63,1))</f>
        <v/>
      </c>
      <c r="T63" s="16">
        <f>IF(S63="","",1+COUNTIFS($R$2:$R$201,"Ready",$N$2:$N$201,N63,$S$2:$S$201,"&gt;"&amp;S63)+COUNTIFS($R$2:$R$201,"Ready",$N$2:$N$201,N63,$S$2:$S$201,"="&amp;S63,$B$2:$B$201,"&lt;"&amp;B63)+COUNTIFS($R$2:$R$201,"Ready",$N$2:$N$201,N63,$S$2:$S$201,"="&amp;S63,$B$2:$B$201,"="&amp;B63,$A$2:$A$201,"&lt;"&amp;A63))</f>
        <v/>
      </c>
      <c r="U63" s="17">
        <f>IF(A63="","",IF(R63&lt;&gt;"Ready",R63,IF(AND(K63="Not Contacted",J63&lt;&gt;""),"Clear last contact date or update outcome",IF(AND(K63&lt;&gt;"Not Contacted",J63=""),"Add last contact date",IF(AND(J63&lt;&gt;"",J63&gt;Setup!$I$4),"Last contact is after review date",IF(K63="Declined","Align status with declined outcome",IF(AND(L63&lt;&gt;"",L63&gt;G63),"Follow-up is after latest start",IF(AND(L63&lt;&gt;"",L63&lt;Setup!$I$4),"Follow-up overdue",IF(AND(L63&lt;&gt;"",L63&lt;=Setup!$I$4+Setup!$I$9),"Follow-up due soon",IF(AND(J63&lt;&gt;"",Setup!$I$4-J63&gt;Setup!$I$8),"Contact may be stale",""))))))))))</f>
        <v/>
      </c>
    </row>
    <row r="64" ht="22" customHeight="1">
      <c r="A64" s="13" t="n"/>
      <c r="B64" s="14" t="n"/>
      <c r="C64" s="15" t="n"/>
      <c r="D64" s="14" t="n"/>
      <c r="E64" s="14" t="n"/>
      <c r="F64" s="14" t="n"/>
      <c r="G64" s="14" t="n"/>
      <c r="H64" s="15" t="n"/>
      <c r="I64" s="13" t="n"/>
      <c r="J64" s="14" t="n"/>
      <c r="K64" s="15" t="n"/>
      <c r="L64" s="14" t="n"/>
      <c r="M64" s="16">
        <f>IF(OR(D64="",E64=""),"",12*(YEAR(E64)-YEAR(D64))+MONTH(E64)-MONTH(D64)-IF(DAY(E64)&lt;DAY(D64),1,0))</f>
        <v/>
      </c>
      <c r="N64" s="17">
        <f>IF(M64="","",IFERROR(IF(M64&lt;=VLOOKUP(M64,Setup!$A$4:$C$7,3,TRUE),VLOOKUP(M64,Setup!$A$4:$C$7,2,TRUE),"Outside configured ranges"),"Outside configured ranges"))</f>
        <v/>
      </c>
      <c r="O64" s="16">
        <f>IF(OR(B64="",B64&gt;Setup!$I$4),"",Setup!$I$4-B64)</f>
        <v/>
      </c>
      <c r="P64" s="16">
        <f>IF(G64="","",G64-Setup!$I$4)</f>
        <v/>
      </c>
      <c r="Q64" s="27">
        <f>IF(K64="","",IFERROR(VLOOKUP(K64,Setup!$E$4:$F$9,2,FALSE),""))</f>
        <v/>
      </c>
      <c r="R64" s="17">
        <f>IF(A64="","",IF(OR(B64="",C64="",D64="",E64="",F64="",G64="",H64="",I64="",K64=""),"Incomplete",IF(COUNTIF(Setup!$K$4:$K$8,I64)=0,"Invalid status",IF(COUNTIF(Setup!$L$4:$L$8,H64)=0,"Invalid schedule",IF(COUNTIF(Setup!$E$4:$E$9,K64)=0,"Invalid contact outcome",IF(I64&lt;&gt;"Active","Not active",IF(B64&gt;Setup!$I$4,"Future waitlist date",IF(D64&gt;E64,"Invalid age/date",IF(F64&gt;G64,"Invalid window",IF(OR(E64&lt;F64,E64&gt;G64),"Preferred date outside window",IF(G64&lt;Setup!$I$4,"Window expired",IF(OR(M64="",N64="Outside configured ranges"),"Outside age bands","Ready"))))))))))))</f>
        <v/>
      </c>
      <c r="S64" s="27">
        <f>IF(R64&lt;&gt;"Ready","",ROUND(O64*Setup!$I$5+MAX(0,Setup!$I$6-MAX(0,P64))*Setup!$I$7+Q64,1))</f>
        <v/>
      </c>
      <c r="T64" s="16">
        <f>IF(S64="","",1+COUNTIFS($R$2:$R$201,"Ready",$N$2:$N$201,N64,$S$2:$S$201,"&gt;"&amp;S64)+COUNTIFS($R$2:$R$201,"Ready",$N$2:$N$201,N64,$S$2:$S$201,"="&amp;S64,$B$2:$B$201,"&lt;"&amp;B64)+COUNTIFS($R$2:$R$201,"Ready",$N$2:$N$201,N64,$S$2:$S$201,"="&amp;S64,$B$2:$B$201,"="&amp;B64,$A$2:$A$201,"&lt;"&amp;A64))</f>
        <v/>
      </c>
      <c r="U64" s="17">
        <f>IF(A64="","",IF(R64&lt;&gt;"Ready",R64,IF(AND(K64="Not Contacted",J64&lt;&gt;""),"Clear last contact date or update outcome",IF(AND(K64&lt;&gt;"Not Contacted",J64=""),"Add last contact date",IF(AND(J64&lt;&gt;"",J64&gt;Setup!$I$4),"Last contact is after review date",IF(K64="Declined","Align status with declined outcome",IF(AND(L64&lt;&gt;"",L64&gt;G64),"Follow-up is after latest start",IF(AND(L64&lt;&gt;"",L64&lt;Setup!$I$4),"Follow-up overdue",IF(AND(L64&lt;&gt;"",L64&lt;=Setup!$I$4+Setup!$I$9),"Follow-up due soon",IF(AND(J64&lt;&gt;"",Setup!$I$4-J64&gt;Setup!$I$8),"Contact may be stale",""))))))))))</f>
        <v/>
      </c>
    </row>
    <row r="65" ht="22" customHeight="1">
      <c r="A65" s="13" t="n"/>
      <c r="B65" s="14" t="n"/>
      <c r="C65" s="15" t="n"/>
      <c r="D65" s="14" t="n"/>
      <c r="E65" s="14" t="n"/>
      <c r="F65" s="14" t="n"/>
      <c r="G65" s="14" t="n"/>
      <c r="H65" s="15" t="n"/>
      <c r="I65" s="13" t="n"/>
      <c r="J65" s="14" t="n"/>
      <c r="K65" s="15" t="n"/>
      <c r="L65" s="14" t="n"/>
      <c r="M65" s="16">
        <f>IF(OR(D65="",E65=""),"",12*(YEAR(E65)-YEAR(D65))+MONTH(E65)-MONTH(D65)-IF(DAY(E65)&lt;DAY(D65),1,0))</f>
        <v/>
      </c>
      <c r="N65" s="17">
        <f>IF(M65="","",IFERROR(IF(M65&lt;=VLOOKUP(M65,Setup!$A$4:$C$7,3,TRUE),VLOOKUP(M65,Setup!$A$4:$C$7,2,TRUE),"Outside configured ranges"),"Outside configured ranges"))</f>
        <v/>
      </c>
      <c r="O65" s="16">
        <f>IF(OR(B65="",B65&gt;Setup!$I$4),"",Setup!$I$4-B65)</f>
        <v/>
      </c>
      <c r="P65" s="16">
        <f>IF(G65="","",G65-Setup!$I$4)</f>
        <v/>
      </c>
      <c r="Q65" s="27">
        <f>IF(K65="","",IFERROR(VLOOKUP(K65,Setup!$E$4:$F$9,2,FALSE),""))</f>
        <v/>
      </c>
      <c r="R65" s="17">
        <f>IF(A65="","",IF(OR(B65="",C65="",D65="",E65="",F65="",G65="",H65="",I65="",K65=""),"Incomplete",IF(COUNTIF(Setup!$K$4:$K$8,I65)=0,"Invalid status",IF(COUNTIF(Setup!$L$4:$L$8,H65)=0,"Invalid schedule",IF(COUNTIF(Setup!$E$4:$E$9,K65)=0,"Invalid contact outcome",IF(I65&lt;&gt;"Active","Not active",IF(B65&gt;Setup!$I$4,"Future waitlist date",IF(D65&gt;E65,"Invalid age/date",IF(F65&gt;G65,"Invalid window",IF(OR(E65&lt;F65,E65&gt;G65),"Preferred date outside window",IF(G65&lt;Setup!$I$4,"Window expired",IF(OR(M65="",N65="Outside configured ranges"),"Outside age bands","Ready"))))))))))))</f>
        <v/>
      </c>
      <c r="S65" s="27">
        <f>IF(R65&lt;&gt;"Ready","",ROUND(O65*Setup!$I$5+MAX(0,Setup!$I$6-MAX(0,P65))*Setup!$I$7+Q65,1))</f>
        <v/>
      </c>
      <c r="T65" s="16">
        <f>IF(S65="","",1+COUNTIFS($R$2:$R$201,"Ready",$N$2:$N$201,N65,$S$2:$S$201,"&gt;"&amp;S65)+COUNTIFS($R$2:$R$201,"Ready",$N$2:$N$201,N65,$S$2:$S$201,"="&amp;S65,$B$2:$B$201,"&lt;"&amp;B65)+COUNTIFS($R$2:$R$201,"Ready",$N$2:$N$201,N65,$S$2:$S$201,"="&amp;S65,$B$2:$B$201,"="&amp;B65,$A$2:$A$201,"&lt;"&amp;A65))</f>
        <v/>
      </c>
      <c r="U65" s="17">
        <f>IF(A65="","",IF(R65&lt;&gt;"Ready",R65,IF(AND(K65="Not Contacted",J65&lt;&gt;""),"Clear last contact date or update outcome",IF(AND(K65&lt;&gt;"Not Contacted",J65=""),"Add last contact date",IF(AND(J65&lt;&gt;"",J65&gt;Setup!$I$4),"Last contact is after review date",IF(K65="Declined","Align status with declined outcome",IF(AND(L65&lt;&gt;"",L65&gt;G65),"Follow-up is after latest start",IF(AND(L65&lt;&gt;"",L65&lt;Setup!$I$4),"Follow-up overdue",IF(AND(L65&lt;&gt;"",L65&lt;=Setup!$I$4+Setup!$I$9),"Follow-up due soon",IF(AND(J65&lt;&gt;"",Setup!$I$4-J65&gt;Setup!$I$8),"Contact may be stale",""))))))))))</f>
        <v/>
      </c>
    </row>
    <row r="66" ht="22" customHeight="1">
      <c r="A66" s="13" t="n"/>
      <c r="B66" s="14" t="n"/>
      <c r="C66" s="15" t="n"/>
      <c r="D66" s="14" t="n"/>
      <c r="E66" s="14" t="n"/>
      <c r="F66" s="14" t="n"/>
      <c r="G66" s="14" t="n"/>
      <c r="H66" s="15" t="n"/>
      <c r="I66" s="13" t="n"/>
      <c r="J66" s="14" t="n"/>
      <c r="K66" s="15" t="n"/>
      <c r="L66" s="14" t="n"/>
      <c r="M66" s="16">
        <f>IF(OR(D66="",E66=""),"",12*(YEAR(E66)-YEAR(D66))+MONTH(E66)-MONTH(D66)-IF(DAY(E66)&lt;DAY(D66),1,0))</f>
        <v/>
      </c>
      <c r="N66" s="17">
        <f>IF(M66="","",IFERROR(IF(M66&lt;=VLOOKUP(M66,Setup!$A$4:$C$7,3,TRUE),VLOOKUP(M66,Setup!$A$4:$C$7,2,TRUE),"Outside configured ranges"),"Outside configured ranges"))</f>
        <v/>
      </c>
      <c r="O66" s="16">
        <f>IF(OR(B66="",B66&gt;Setup!$I$4),"",Setup!$I$4-B66)</f>
        <v/>
      </c>
      <c r="P66" s="16">
        <f>IF(G66="","",G66-Setup!$I$4)</f>
        <v/>
      </c>
      <c r="Q66" s="27">
        <f>IF(K66="","",IFERROR(VLOOKUP(K66,Setup!$E$4:$F$9,2,FALSE),""))</f>
        <v/>
      </c>
      <c r="R66" s="17">
        <f>IF(A66="","",IF(OR(B66="",C66="",D66="",E66="",F66="",G66="",H66="",I66="",K66=""),"Incomplete",IF(COUNTIF(Setup!$K$4:$K$8,I66)=0,"Invalid status",IF(COUNTIF(Setup!$L$4:$L$8,H66)=0,"Invalid schedule",IF(COUNTIF(Setup!$E$4:$E$9,K66)=0,"Invalid contact outcome",IF(I66&lt;&gt;"Active","Not active",IF(B66&gt;Setup!$I$4,"Future waitlist date",IF(D66&gt;E66,"Invalid age/date",IF(F66&gt;G66,"Invalid window",IF(OR(E66&lt;F66,E66&gt;G66),"Preferred date outside window",IF(G66&lt;Setup!$I$4,"Window expired",IF(OR(M66="",N66="Outside configured ranges"),"Outside age bands","Ready"))))))))))))</f>
        <v/>
      </c>
      <c r="S66" s="27">
        <f>IF(R66&lt;&gt;"Ready","",ROUND(O66*Setup!$I$5+MAX(0,Setup!$I$6-MAX(0,P66))*Setup!$I$7+Q66,1))</f>
        <v/>
      </c>
      <c r="T66" s="16">
        <f>IF(S66="","",1+COUNTIFS($R$2:$R$201,"Ready",$N$2:$N$201,N66,$S$2:$S$201,"&gt;"&amp;S66)+COUNTIFS($R$2:$R$201,"Ready",$N$2:$N$201,N66,$S$2:$S$201,"="&amp;S66,$B$2:$B$201,"&lt;"&amp;B66)+COUNTIFS($R$2:$R$201,"Ready",$N$2:$N$201,N66,$S$2:$S$201,"="&amp;S66,$B$2:$B$201,"="&amp;B66,$A$2:$A$201,"&lt;"&amp;A66))</f>
        <v/>
      </c>
      <c r="U66" s="17">
        <f>IF(A66="","",IF(R66&lt;&gt;"Ready",R66,IF(AND(K66="Not Contacted",J66&lt;&gt;""),"Clear last contact date or update outcome",IF(AND(K66&lt;&gt;"Not Contacted",J66=""),"Add last contact date",IF(AND(J66&lt;&gt;"",J66&gt;Setup!$I$4),"Last contact is after review date",IF(K66="Declined","Align status with declined outcome",IF(AND(L66&lt;&gt;"",L66&gt;G66),"Follow-up is after latest start",IF(AND(L66&lt;&gt;"",L66&lt;Setup!$I$4),"Follow-up overdue",IF(AND(L66&lt;&gt;"",L66&lt;=Setup!$I$4+Setup!$I$9),"Follow-up due soon",IF(AND(J66&lt;&gt;"",Setup!$I$4-J66&gt;Setup!$I$8),"Contact may be stale",""))))))))))</f>
        <v/>
      </c>
    </row>
    <row r="67" ht="22" customHeight="1">
      <c r="A67" s="13" t="n"/>
      <c r="B67" s="14" t="n"/>
      <c r="C67" s="15" t="n"/>
      <c r="D67" s="14" t="n"/>
      <c r="E67" s="14" t="n"/>
      <c r="F67" s="14" t="n"/>
      <c r="G67" s="14" t="n"/>
      <c r="H67" s="15" t="n"/>
      <c r="I67" s="13" t="n"/>
      <c r="J67" s="14" t="n"/>
      <c r="K67" s="15" t="n"/>
      <c r="L67" s="14" t="n"/>
      <c r="M67" s="16">
        <f>IF(OR(D67="",E67=""),"",12*(YEAR(E67)-YEAR(D67))+MONTH(E67)-MONTH(D67)-IF(DAY(E67)&lt;DAY(D67),1,0))</f>
        <v/>
      </c>
      <c r="N67" s="17">
        <f>IF(M67="","",IFERROR(IF(M67&lt;=VLOOKUP(M67,Setup!$A$4:$C$7,3,TRUE),VLOOKUP(M67,Setup!$A$4:$C$7,2,TRUE),"Outside configured ranges"),"Outside configured ranges"))</f>
        <v/>
      </c>
      <c r="O67" s="16">
        <f>IF(OR(B67="",B67&gt;Setup!$I$4),"",Setup!$I$4-B67)</f>
        <v/>
      </c>
      <c r="P67" s="16">
        <f>IF(G67="","",G67-Setup!$I$4)</f>
        <v/>
      </c>
      <c r="Q67" s="27">
        <f>IF(K67="","",IFERROR(VLOOKUP(K67,Setup!$E$4:$F$9,2,FALSE),""))</f>
        <v/>
      </c>
      <c r="R67" s="17">
        <f>IF(A67="","",IF(OR(B67="",C67="",D67="",E67="",F67="",G67="",H67="",I67="",K67=""),"Incomplete",IF(COUNTIF(Setup!$K$4:$K$8,I67)=0,"Invalid status",IF(COUNTIF(Setup!$L$4:$L$8,H67)=0,"Invalid schedule",IF(COUNTIF(Setup!$E$4:$E$9,K67)=0,"Invalid contact outcome",IF(I67&lt;&gt;"Active","Not active",IF(B67&gt;Setup!$I$4,"Future waitlist date",IF(D67&gt;E67,"Invalid age/date",IF(F67&gt;G67,"Invalid window",IF(OR(E67&lt;F67,E67&gt;G67),"Preferred date outside window",IF(G67&lt;Setup!$I$4,"Window expired",IF(OR(M67="",N67="Outside configured ranges"),"Outside age bands","Ready"))))))))))))</f>
        <v/>
      </c>
      <c r="S67" s="27">
        <f>IF(R67&lt;&gt;"Ready","",ROUND(O67*Setup!$I$5+MAX(0,Setup!$I$6-MAX(0,P67))*Setup!$I$7+Q67,1))</f>
        <v/>
      </c>
      <c r="T67" s="16">
        <f>IF(S67="","",1+COUNTIFS($R$2:$R$201,"Ready",$N$2:$N$201,N67,$S$2:$S$201,"&gt;"&amp;S67)+COUNTIFS($R$2:$R$201,"Ready",$N$2:$N$201,N67,$S$2:$S$201,"="&amp;S67,$B$2:$B$201,"&lt;"&amp;B67)+COUNTIFS($R$2:$R$201,"Ready",$N$2:$N$201,N67,$S$2:$S$201,"="&amp;S67,$B$2:$B$201,"="&amp;B67,$A$2:$A$201,"&lt;"&amp;A67))</f>
        <v/>
      </c>
      <c r="U67" s="17">
        <f>IF(A67="","",IF(R67&lt;&gt;"Ready",R67,IF(AND(K67="Not Contacted",J67&lt;&gt;""),"Clear last contact date or update outcome",IF(AND(K67&lt;&gt;"Not Contacted",J67=""),"Add last contact date",IF(AND(J67&lt;&gt;"",J67&gt;Setup!$I$4),"Last contact is after review date",IF(K67="Declined","Align status with declined outcome",IF(AND(L67&lt;&gt;"",L67&gt;G67),"Follow-up is after latest start",IF(AND(L67&lt;&gt;"",L67&lt;Setup!$I$4),"Follow-up overdue",IF(AND(L67&lt;&gt;"",L67&lt;=Setup!$I$4+Setup!$I$9),"Follow-up due soon",IF(AND(J67&lt;&gt;"",Setup!$I$4-J67&gt;Setup!$I$8),"Contact may be stale",""))))))))))</f>
        <v/>
      </c>
    </row>
    <row r="68" ht="22" customHeight="1">
      <c r="A68" s="13" t="n"/>
      <c r="B68" s="14" t="n"/>
      <c r="C68" s="15" t="n"/>
      <c r="D68" s="14" t="n"/>
      <c r="E68" s="14" t="n"/>
      <c r="F68" s="14" t="n"/>
      <c r="G68" s="14" t="n"/>
      <c r="H68" s="15" t="n"/>
      <c r="I68" s="13" t="n"/>
      <c r="J68" s="14" t="n"/>
      <c r="K68" s="15" t="n"/>
      <c r="L68" s="14" t="n"/>
      <c r="M68" s="16">
        <f>IF(OR(D68="",E68=""),"",12*(YEAR(E68)-YEAR(D68))+MONTH(E68)-MONTH(D68)-IF(DAY(E68)&lt;DAY(D68),1,0))</f>
        <v/>
      </c>
      <c r="N68" s="17">
        <f>IF(M68="","",IFERROR(IF(M68&lt;=VLOOKUP(M68,Setup!$A$4:$C$7,3,TRUE),VLOOKUP(M68,Setup!$A$4:$C$7,2,TRUE),"Outside configured ranges"),"Outside configured ranges"))</f>
        <v/>
      </c>
      <c r="O68" s="16">
        <f>IF(OR(B68="",B68&gt;Setup!$I$4),"",Setup!$I$4-B68)</f>
        <v/>
      </c>
      <c r="P68" s="16">
        <f>IF(G68="","",G68-Setup!$I$4)</f>
        <v/>
      </c>
      <c r="Q68" s="27">
        <f>IF(K68="","",IFERROR(VLOOKUP(K68,Setup!$E$4:$F$9,2,FALSE),""))</f>
        <v/>
      </c>
      <c r="R68" s="17">
        <f>IF(A68="","",IF(OR(B68="",C68="",D68="",E68="",F68="",G68="",H68="",I68="",K68=""),"Incomplete",IF(COUNTIF(Setup!$K$4:$K$8,I68)=0,"Invalid status",IF(COUNTIF(Setup!$L$4:$L$8,H68)=0,"Invalid schedule",IF(COUNTIF(Setup!$E$4:$E$9,K68)=0,"Invalid contact outcome",IF(I68&lt;&gt;"Active","Not active",IF(B68&gt;Setup!$I$4,"Future waitlist date",IF(D68&gt;E68,"Invalid age/date",IF(F68&gt;G68,"Invalid window",IF(OR(E68&lt;F68,E68&gt;G68),"Preferred date outside window",IF(G68&lt;Setup!$I$4,"Window expired",IF(OR(M68="",N68="Outside configured ranges"),"Outside age bands","Ready"))))))))))))</f>
        <v/>
      </c>
      <c r="S68" s="27">
        <f>IF(R68&lt;&gt;"Ready","",ROUND(O68*Setup!$I$5+MAX(0,Setup!$I$6-MAX(0,P68))*Setup!$I$7+Q68,1))</f>
        <v/>
      </c>
      <c r="T68" s="16">
        <f>IF(S68="","",1+COUNTIFS($R$2:$R$201,"Ready",$N$2:$N$201,N68,$S$2:$S$201,"&gt;"&amp;S68)+COUNTIFS($R$2:$R$201,"Ready",$N$2:$N$201,N68,$S$2:$S$201,"="&amp;S68,$B$2:$B$201,"&lt;"&amp;B68)+COUNTIFS($R$2:$R$201,"Ready",$N$2:$N$201,N68,$S$2:$S$201,"="&amp;S68,$B$2:$B$201,"="&amp;B68,$A$2:$A$201,"&lt;"&amp;A68))</f>
        <v/>
      </c>
      <c r="U68" s="17">
        <f>IF(A68="","",IF(R68&lt;&gt;"Ready",R68,IF(AND(K68="Not Contacted",J68&lt;&gt;""),"Clear last contact date or update outcome",IF(AND(K68&lt;&gt;"Not Contacted",J68=""),"Add last contact date",IF(AND(J68&lt;&gt;"",J68&gt;Setup!$I$4),"Last contact is after review date",IF(K68="Declined","Align status with declined outcome",IF(AND(L68&lt;&gt;"",L68&gt;G68),"Follow-up is after latest start",IF(AND(L68&lt;&gt;"",L68&lt;Setup!$I$4),"Follow-up overdue",IF(AND(L68&lt;&gt;"",L68&lt;=Setup!$I$4+Setup!$I$9),"Follow-up due soon",IF(AND(J68&lt;&gt;"",Setup!$I$4-J68&gt;Setup!$I$8),"Contact may be stale",""))))))))))</f>
        <v/>
      </c>
    </row>
    <row r="69" ht="22" customHeight="1">
      <c r="A69" s="13" t="n"/>
      <c r="B69" s="14" t="n"/>
      <c r="C69" s="15" t="n"/>
      <c r="D69" s="14" t="n"/>
      <c r="E69" s="14" t="n"/>
      <c r="F69" s="14" t="n"/>
      <c r="G69" s="14" t="n"/>
      <c r="H69" s="15" t="n"/>
      <c r="I69" s="13" t="n"/>
      <c r="J69" s="14" t="n"/>
      <c r="K69" s="15" t="n"/>
      <c r="L69" s="14" t="n"/>
      <c r="M69" s="16">
        <f>IF(OR(D69="",E69=""),"",12*(YEAR(E69)-YEAR(D69))+MONTH(E69)-MONTH(D69)-IF(DAY(E69)&lt;DAY(D69),1,0))</f>
        <v/>
      </c>
      <c r="N69" s="17">
        <f>IF(M69="","",IFERROR(IF(M69&lt;=VLOOKUP(M69,Setup!$A$4:$C$7,3,TRUE),VLOOKUP(M69,Setup!$A$4:$C$7,2,TRUE),"Outside configured ranges"),"Outside configured ranges"))</f>
        <v/>
      </c>
      <c r="O69" s="16">
        <f>IF(OR(B69="",B69&gt;Setup!$I$4),"",Setup!$I$4-B69)</f>
        <v/>
      </c>
      <c r="P69" s="16">
        <f>IF(G69="","",G69-Setup!$I$4)</f>
        <v/>
      </c>
      <c r="Q69" s="27">
        <f>IF(K69="","",IFERROR(VLOOKUP(K69,Setup!$E$4:$F$9,2,FALSE),""))</f>
        <v/>
      </c>
      <c r="R69" s="17">
        <f>IF(A69="","",IF(OR(B69="",C69="",D69="",E69="",F69="",G69="",H69="",I69="",K69=""),"Incomplete",IF(COUNTIF(Setup!$K$4:$K$8,I69)=0,"Invalid status",IF(COUNTIF(Setup!$L$4:$L$8,H69)=0,"Invalid schedule",IF(COUNTIF(Setup!$E$4:$E$9,K69)=0,"Invalid contact outcome",IF(I69&lt;&gt;"Active","Not active",IF(B69&gt;Setup!$I$4,"Future waitlist date",IF(D69&gt;E69,"Invalid age/date",IF(F69&gt;G69,"Invalid window",IF(OR(E69&lt;F69,E69&gt;G69),"Preferred date outside window",IF(G69&lt;Setup!$I$4,"Window expired",IF(OR(M69="",N69="Outside configured ranges"),"Outside age bands","Ready"))))))))))))</f>
        <v/>
      </c>
      <c r="S69" s="27">
        <f>IF(R69&lt;&gt;"Ready","",ROUND(O69*Setup!$I$5+MAX(0,Setup!$I$6-MAX(0,P69))*Setup!$I$7+Q69,1))</f>
        <v/>
      </c>
      <c r="T69" s="16">
        <f>IF(S69="","",1+COUNTIFS($R$2:$R$201,"Ready",$N$2:$N$201,N69,$S$2:$S$201,"&gt;"&amp;S69)+COUNTIFS($R$2:$R$201,"Ready",$N$2:$N$201,N69,$S$2:$S$201,"="&amp;S69,$B$2:$B$201,"&lt;"&amp;B69)+COUNTIFS($R$2:$R$201,"Ready",$N$2:$N$201,N69,$S$2:$S$201,"="&amp;S69,$B$2:$B$201,"="&amp;B69,$A$2:$A$201,"&lt;"&amp;A69))</f>
        <v/>
      </c>
      <c r="U69" s="17">
        <f>IF(A69="","",IF(R69&lt;&gt;"Ready",R69,IF(AND(K69="Not Contacted",J69&lt;&gt;""),"Clear last contact date or update outcome",IF(AND(K69&lt;&gt;"Not Contacted",J69=""),"Add last contact date",IF(AND(J69&lt;&gt;"",J69&gt;Setup!$I$4),"Last contact is after review date",IF(K69="Declined","Align status with declined outcome",IF(AND(L69&lt;&gt;"",L69&gt;G69),"Follow-up is after latest start",IF(AND(L69&lt;&gt;"",L69&lt;Setup!$I$4),"Follow-up overdue",IF(AND(L69&lt;&gt;"",L69&lt;=Setup!$I$4+Setup!$I$9),"Follow-up due soon",IF(AND(J69&lt;&gt;"",Setup!$I$4-J69&gt;Setup!$I$8),"Contact may be stale",""))))))))))</f>
        <v/>
      </c>
    </row>
    <row r="70" ht="22" customHeight="1">
      <c r="A70" s="13" t="n"/>
      <c r="B70" s="14" t="n"/>
      <c r="C70" s="15" t="n"/>
      <c r="D70" s="14" t="n"/>
      <c r="E70" s="14" t="n"/>
      <c r="F70" s="14" t="n"/>
      <c r="G70" s="14" t="n"/>
      <c r="H70" s="15" t="n"/>
      <c r="I70" s="13" t="n"/>
      <c r="J70" s="14" t="n"/>
      <c r="K70" s="15" t="n"/>
      <c r="L70" s="14" t="n"/>
      <c r="M70" s="16">
        <f>IF(OR(D70="",E70=""),"",12*(YEAR(E70)-YEAR(D70))+MONTH(E70)-MONTH(D70)-IF(DAY(E70)&lt;DAY(D70),1,0))</f>
        <v/>
      </c>
      <c r="N70" s="17">
        <f>IF(M70="","",IFERROR(IF(M70&lt;=VLOOKUP(M70,Setup!$A$4:$C$7,3,TRUE),VLOOKUP(M70,Setup!$A$4:$C$7,2,TRUE),"Outside configured ranges"),"Outside configured ranges"))</f>
        <v/>
      </c>
      <c r="O70" s="16">
        <f>IF(OR(B70="",B70&gt;Setup!$I$4),"",Setup!$I$4-B70)</f>
        <v/>
      </c>
      <c r="P70" s="16">
        <f>IF(G70="","",G70-Setup!$I$4)</f>
        <v/>
      </c>
      <c r="Q70" s="27">
        <f>IF(K70="","",IFERROR(VLOOKUP(K70,Setup!$E$4:$F$9,2,FALSE),""))</f>
        <v/>
      </c>
      <c r="R70" s="17">
        <f>IF(A70="","",IF(OR(B70="",C70="",D70="",E70="",F70="",G70="",H70="",I70="",K70=""),"Incomplete",IF(COUNTIF(Setup!$K$4:$K$8,I70)=0,"Invalid status",IF(COUNTIF(Setup!$L$4:$L$8,H70)=0,"Invalid schedule",IF(COUNTIF(Setup!$E$4:$E$9,K70)=0,"Invalid contact outcome",IF(I70&lt;&gt;"Active","Not active",IF(B70&gt;Setup!$I$4,"Future waitlist date",IF(D70&gt;E70,"Invalid age/date",IF(F70&gt;G70,"Invalid window",IF(OR(E70&lt;F70,E70&gt;G70),"Preferred date outside window",IF(G70&lt;Setup!$I$4,"Window expired",IF(OR(M70="",N70="Outside configured ranges"),"Outside age bands","Ready"))))))))))))</f>
        <v/>
      </c>
      <c r="S70" s="27">
        <f>IF(R70&lt;&gt;"Ready","",ROUND(O70*Setup!$I$5+MAX(0,Setup!$I$6-MAX(0,P70))*Setup!$I$7+Q70,1))</f>
        <v/>
      </c>
      <c r="T70" s="16">
        <f>IF(S70="","",1+COUNTIFS($R$2:$R$201,"Ready",$N$2:$N$201,N70,$S$2:$S$201,"&gt;"&amp;S70)+COUNTIFS($R$2:$R$201,"Ready",$N$2:$N$201,N70,$S$2:$S$201,"="&amp;S70,$B$2:$B$201,"&lt;"&amp;B70)+COUNTIFS($R$2:$R$201,"Ready",$N$2:$N$201,N70,$S$2:$S$201,"="&amp;S70,$B$2:$B$201,"="&amp;B70,$A$2:$A$201,"&lt;"&amp;A70))</f>
        <v/>
      </c>
      <c r="U70" s="17">
        <f>IF(A70="","",IF(R70&lt;&gt;"Ready",R70,IF(AND(K70="Not Contacted",J70&lt;&gt;""),"Clear last contact date or update outcome",IF(AND(K70&lt;&gt;"Not Contacted",J70=""),"Add last contact date",IF(AND(J70&lt;&gt;"",J70&gt;Setup!$I$4),"Last contact is after review date",IF(K70="Declined","Align status with declined outcome",IF(AND(L70&lt;&gt;"",L70&gt;G70),"Follow-up is after latest start",IF(AND(L70&lt;&gt;"",L70&lt;Setup!$I$4),"Follow-up overdue",IF(AND(L70&lt;&gt;"",L70&lt;=Setup!$I$4+Setup!$I$9),"Follow-up due soon",IF(AND(J70&lt;&gt;"",Setup!$I$4-J70&gt;Setup!$I$8),"Contact may be stale",""))))))))))</f>
        <v/>
      </c>
    </row>
    <row r="71" ht="22" customHeight="1">
      <c r="A71" s="13" t="n"/>
      <c r="B71" s="14" t="n"/>
      <c r="C71" s="15" t="n"/>
      <c r="D71" s="14" t="n"/>
      <c r="E71" s="14" t="n"/>
      <c r="F71" s="14" t="n"/>
      <c r="G71" s="14" t="n"/>
      <c r="H71" s="15" t="n"/>
      <c r="I71" s="13" t="n"/>
      <c r="J71" s="14" t="n"/>
      <c r="K71" s="15" t="n"/>
      <c r="L71" s="14" t="n"/>
      <c r="M71" s="16">
        <f>IF(OR(D71="",E71=""),"",12*(YEAR(E71)-YEAR(D71))+MONTH(E71)-MONTH(D71)-IF(DAY(E71)&lt;DAY(D71),1,0))</f>
        <v/>
      </c>
      <c r="N71" s="17">
        <f>IF(M71="","",IFERROR(IF(M71&lt;=VLOOKUP(M71,Setup!$A$4:$C$7,3,TRUE),VLOOKUP(M71,Setup!$A$4:$C$7,2,TRUE),"Outside configured ranges"),"Outside configured ranges"))</f>
        <v/>
      </c>
      <c r="O71" s="16">
        <f>IF(OR(B71="",B71&gt;Setup!$I$4),"",Setup!$I$4-B71)</f>
        <v/>
      </c>
      <c r="P71" s="16">
        <f>IF(G71="","",G71-Setup!$I$4)</f>
        <v/>
      </c>
      <c r="Q71" s="27">
        <f>IF(K71="","",IFERROR(VLOOKUP(K71,Setup!$E$4:$F$9,2,FALSE),""))</f>
        <v/>
      </c>
      <c r="R71" s="17">
        <f>IF(A71="","",IF(OR(B71="",C71="",D71="",E71="",F71="",G71="",H71="",I71="",K71=""),"Incomplete",IF(COUNTIF(Setup!$K$4:$K$8,I71)=0,"Invalid status",IF(COUNTIF(Setup!$L$4:$L$8,H71)=0,"Invalid schedule",IF(COUNTIF(Setup!$E$4:$E$9,K71)=0,"Invalid contact outcome",IF(I71&lt;&gt;"Active","Not active",IF(B71&gt;Setup!$I$4,"Future waitlist date",IF(D71&gt;E71,"Invalid age/date",IF(F71&gt;G71,"Invalid window",IF(OR(E71&lt;F71,E71&gt;G71),"Preferred date outside window",IF(G71&lt;Setup!$I$4,"Window expired",IF(OR(M71="",N71="Outside configured ranges"),"Outside age bands","Ready"))))))))))))</f>
        <v/>
      </c>
      <c r="S71" s="27">
        <f>IF(R71&lt;&gt;"Ready","",ROUND(O71*Setup!$I$5+MAX(0,Setup!$I$6-MAX(0,P71))*Setup!$I$7+Q71,1))</f>
        <v/>
      </c>
      <c r="T71" s="16">
        <f>IF(S71="","",1+COUNTIFS($R$2:$R$201,"Ready",$N$2:$N$201,N71,$S$2:$S$201,"&gt;"&amp;S71)+COUNTIFS($R$2:$R$201,"Ready",$N$2:$N$201,N71,$S$2:$S$201,"="&amp;S71,$B$2:$B$201,"&lt;"&amp;B71)+COUNTIFS($R$2:$R$201,"Ready",$N$2:$N$201,N71,$S$2:$S$201,"="&amp;S71,$B$2:$B$201,"="&amp;B71,$A$2:$A$201,"&lt;"&amp;A71))</f>
        <v/>
      </c>
      <c r="U71" s="17">
        <f>IF(A71="","",IF(R71&lt;&gt;"Ready",R71,IF(AND(K71="Not Contacted",J71&lt;&gt;""),"Clear last contact date or update outcome",IF(AND(K71&lt;&gt;"Not Contacted",J71=""),"Add last contact date",IF(AND(J71&lt;&gt;"",J71&gt;Setup!$I$4),"Last contact is after review date",IF(K71="Declined","Align status with declined outcome",IF(AND(L71&lt;&gt;"",L71&gt;G71),"Follow-up is after latest start",IF(AND(L71&lt;&gt;"",L71&lt;Setup!$I$4),"Follow-up overdue",IF(AND(L71&lt;&gt;"",L71&lt;=Setup!$I$4+Setup!$I$9),"Follow-up due soon",IF(AND(J71&lt;&gt;"",Setup!$I$4-J71&gt;Setup!$I$8),"Contact may be stale",""))))))))))</f>
        <v/>
      </c>
    </row>
    <row r="72" ht="22" customHeight="1">
      <c r="A72" s="13" t="n"/>
      <c r="B72" s="14" t="n"/>
      <c r="C72" s="15" t="n"/>
      <c r="D72" s="14" t="n"/>
      <c r="E72" s="14" t="n"/>
      <c r="F72" s="14" t="n"/>
      <c r="G72" s="14" t="n"/>
      <c r="H72" s="15" t="n"/>
      <c r="I72" s="13" t="n"/>
      <c r="J72" s="14" t="n"/>
      <c r="K72" s="15" t="n"/>
      <c r="L72" s="14" t="n"/>
      <c r="M72" s="16">
        <f>IF(OR(D72="",E72=""),"",12*(YEAR(E72)-YEAR(D72))+MONTH(E72)-MONTH(D72)-IF(DAY(E72)&lt;DAY(D72),1,0))</f>
        <v/>
      </c>
      <c r="N72" s="17">
        <f>IF(M72="","",IFERROR(IF(M72&lt;=VLOOKUP(M72,Setup!$A$4:$C$7,3,TRUE),VLOOKUP(M72,Setup!$A$4:$C$7,2,TRUE),"Outside configured ranges"),"Outside configured ranges"))</f>
        <v/>
      </c>
      <c r="O72" s="16">
        <f>IF(OR(B72="",B72&gt;Setup!$I$4),"",Setup!$I$4-B72)</f>
        <v/>
      </c>
      <c r="P72" s="16">
        <f>IF(G72="","",G72-Setup!$I$4)</f>
        <v/>
      </c>
      <c r="Q72" s="27">
        <f>IF(K72="","",IFERROR(VLOOKUP(K72,Setup!$E$4:$F$9,2,FALSE),""))</f>
        <v/>
      </c>
      <c r="R72" s="17">
        <f>IF(A72="","",IF(OR(B72="",C72="",D72="",E72="",F72="",G72="",H72="",I72="",K72=""),"Incomplete",IF(COUNTIF(Setup!$K$4:$K$8,I72)=0,"Invalid status",IF(COUNTIF(Setup!$L$4:$L$8,H72)=0,"Invalid schedule",IF(COUNTIF(Setup!$E$4:$E$9,K72)=0,"Invalid contact outcome",IF(I72&lt;&gt;"Active","Not active",IF(B72&gt;Setup!$I$4,"Future waitlist date",IF(D72&gt;E72,"Invalid age/date",IF(F72&gt;G72,"Invalid window",IF(OR(E72&lt;F72,E72&gt;G72),"Preferred date outside window",IF(G72&lt;Setup!$I$4,"Window expired",IF(OR(M72="",N72="Outside configured ranges"),"Outside age bands","Ready"))))))))))))</f>
        <v/>
      </c>
      <c r="S72" s="27">
        <f>IF(R72&lt;&gt;"Ready","",ROUND(O72*Setup!$I$5+MAX(0,Setup!$I$6-MAX(0,P72))*Setup!$I$7+Q72,1))</f>
        <v/>
      </c>
      <c r="T72" s="16">
        <f>IF(S72="","",1+COUNTIFS($R$2:$R$201,"Ready",$N$2:$N$201,N72,$S$2:$S$201,"&gt;"&amp;S72)+COUNTIFS($R$2:$R$201,"Ready",$N$2:$N$201,N72,$S$2:$S$201,"="&amp;S72,$B$2:$B$201,"&lt;"&amp;B72)+COUNTIFS($R$2:$R$201,"Ready",$N$2:$N$201,N72,$S$2:$S$201,"="&amp;S72,$B$2:$B$201,"="&amp;B72,$A$2:$A$201,"&lt;"&amp;A72))</f>
        <v/>
      </c>
      <c r="U72" s="17">
        <f>IF(A72="","",IF(R72&lt;&gt;"Ready",R72,IF(AND(K72="Not Contacted",J72&lt;&gt;""),"Clear last contact date or update outcome",IF(AND(K72&lt;&gt;"Not Contacted",J72=""),"Add last contact date",IF(AND(J72&lt;&gt;"",J72&gt;Setup!$I$4),"Last contact is after review date",IF(K72="Declined","Align status with declined outcome",IF(AND(L72&lt;&gt;"",L72&gt;G72),"Follow-up is after latest start",IF(AND(L72&lt;&gt;"",L72&lt;Setup!$I$4),"Follow-up overdue",IF(AND(L72&lt;&gt;"",L72&lt;=Setup!$I$4+Setup!$I$9),"Follow-up due soon",IF(AND(J72&lt;&gt;"",Setup!$I$4-J72&gt;Setup!$I$8),"Contact may be stale",""))))))))))</f>
        <v/>
      </c>
    </row>
    <row r="73" ht="22" customHeight="1">
      <c r="A73" s="13" t="n"/>
      <c r="B73" s="14" t="n"/>
      <c r="C73" s="15" t="n"/>
      <c r="D73" s="14" t="n"/>
      <c r="E73" s="14" t="n"/>
      <c r="F73" s="14" t="n"/>
      <c r="G73" s="14" t="n"/>
      <c r="H73" s="15" t="n"/>
      <c r="I73" s="13" t="n"/>
      <c r="J73" s="14" t="n"/>
      <c r="K73" s="15" t="n"/>
      <c r="L73" s="14" t="n"/>
      <c r="M73" s="16">
        <f>IF(OR(D73="",E73=""),"",12*(YEAR(E73)-YEAR(D73))+MONTH(E73)-MONTH(D73)-IF(DAY(E73)&lt;DAY(D73),1,0))</f>
        <v/>
      </c>
      <c r="N73" s="17">
        <f>IF(M73="","",IFERROR(IF(M73&lt;=VLOOKUP(M73,Setup!$A$4:$C$7,3,TRUE),VLOOKUP(M73,Setup!$A$4:$C$7,2,TRUE),"Outside configured ranges"),"Outside configured ranges"))</f>
        <v/>
      </c>
      <c r="O73" s="16">
        <f>IF(OR(B73="",B73&gt;Setup!$I$4),"",Setup!$I$4-B73)</f>
        <v/>
      </c>
      <c r="P73" s="16">
        <f>IF(G73="","",G73-Setup!$I$4)</f>
        <v/>
      </c>
      <c r="Q73" s="27">
        <f>IF(K73="","",IFERROR(VLOOKUP(K73,Setup!$E$4:$F$9,2,FALSE),""))</f>
        <v/>
      </c>
      <c r="R73" s="17">
        <f>IF(A73="","",IF(OR(B73="",C73="",D73="",E73="",F73="",G73="",H73="",I73="",K73=""),"Incomplete",IF(COUNTIF(Setup!$K$4:$K$8,I73)=0,"Invalid status",IF(COUNTIF(Setup!$L$4:$L$8,H73)=0,"Invalid schedule",IF(COUNTIF(Setup!$E$4:$E$9,K73)=0,"Invalid contact outcome",IF(I73&lt;&gt;"Active","Not active",IF(B73&gt;Setup!$I$4,"Future waitlist date",IF(D73&gt;E73,"Invalid age/date",IF(F73&gt;G73,"Invalid window",IF(OR(E73&lt;F73,E73&gt;G73),"Preferred date outside window",IF(G73&lt;Setup!$I$4,"Window expired",IF(OR(M73="",N73="Outside configured ranges"),"Outside age bands","Ready"))))))))))))</f>
        <v/>
      </c>
      <c r="S73" s="27">
        <f>IF(R73&lt;&gt;"Ready","",ROUND(O73*Setup!$I$5+MAX(0,Setup!$I$6-MAX(0,P73))*Setup!$I$7+Q73,1))</f>
        <v/>
      </c>
      <c r="T73" s="16">
        <f>IF(S73="","",1+COUNTIFS($R$2:$R$201,"Ready",$N$2:$N$201,N73,$S$2:$S$201,"&gt;"&amp;S73)+COUNTIFS($R$2:$R$201,"Ready",$N$2:$N$201,N73,$S$2:$S$201,"="&amp;S73,$B$2:$B$201,"&lt;"&amp;B73)+COUNTIFS($R$2:$R$201,"Ready",$N$2:$N$201,N73,$S$2:$S$201,"="&amp;S73,$B$2:$B$201,"="&amp;B73,$A$2:$A$201,"&lt;"&amp;A73))</f>
        <v/>
      </c>
      <c r="U73" s="17">
        <f>IF(A73="","",IF(R73&lt;&gt;"Ready",R73,IF(AND(K73="Not Contacted",J73&lt;&gt;""),"Clear last contact date or update outcome",IF(AND(K73&lt;&gt;"Not Contacted",J73=""),"Add last contact date",IF(AND(J73&lt;&gt;"",J73&gt;Setup!$I$4),"Last contact is after review date",IF(K73="Declined","Align status with declined outcome",IF(AND(L73&lt;&gt;"",L73&gt;G73),"Follow-up is after latest start",IF(AND(L73&lt;&gt;"",L73&lt;Setup!$I$4),"Follow-up overdue",IF(AND(L73&lt;&gt;"",L73&lt;=Setup!$I$4+Setup!$I$9),"Follow-up due soon",IF(AND(J73&lt;&gt;"",Setup!$I$4-J73&gt;Setup!$I$8),"Contact may be stale",""))))))))))</f>
        <v/>
      </c>
    </row>
    <row r="74" ht="22" customHeight="1">
      <c r="A74" s="13" t="n"/>
      <c r="B74" s="14" t="n"/>
      <c r="C74" s="15" t="n"/>
      <c r="D74" s="14" t="n"/>
      <c r="E74" s="14" t="n"/>
      <c r="F74" s="14" t="n"/>
      <c r="G74" s="14" t="n"/>
      <c r="H74" s="15" t="n"/>
      <c r="I74" s="13" t="n"/>
      <c r="J74" s="14" t="n"/>
      <c r="K74" s="15" t="n"/>
      <c r="L74" s="14" t="n"/>
      <c r="M74" s="16">
        <f>IF(OR(D74="",E74=""),"",12*(YEAR(E74)-YEAR(D74))+MONTH(E74)-MONTH(D74)-IF(DAY(E74)&lt;DAY(D74),1,0))</f>
        <v/>
      </c>
      <c r="N74" s="17">
        <f>IF(M74="","",IFERROR(IF(M74&lt;=VLOOKUP(M74,Setup!$A$4:$C$7,3,TRUE),VLOOKUP(M74,Setup!$A$4:$C$7,2,TRUE),"Outside configured ranges"),"Outside configured ranges"))</f>
        <v/>
      </c>
      <c r="O74" s="16">
        <f>IF(OR(B74="",B74&gt;Setup!$I$4),"",Setup!$I$4-B74)</f>
        <v/>
      </c>
      <c r="P74" s="16">
        <f>IF(G74="","",G74-Setup!$I$4)</f>
        <v/>
      </c>
      <c r="Q74" s="27">
        <f>IF(K74="","",IFERROR(VLOOKUP(K74,Setup!$E$4:$F$9,2,FALSE),""))</f>
        <v/>
      </c>
      <c r="R74" s="17">
        <f>IF(A74="","",IF(OR(B74="",C74="",D74="",E74="",F74="",G74="",H74="",I74="",K74=""),"Incomplete",IF(COUNTIF(Setup!$K$4:$K$8,I74)=0,"Invalid status",IF(COUNTIF(Setup!$L$4:$L$8,H74)=0,"Invalid schedule",IF(COUNTIF(Setup!$E$4:$E$9,K74)=0,"Invalid contact outcome",IF(I74&lt;&gt;"Active","Not active",IF(B74&gt;Setup!$I$4,"Future waitlist date",IF(D74&gt;E74,"Invalid age/date",IF(F74&gt;G74,"Invalid window",IF(OR(E74&lt;F74,E74&gt;G74),"Preferred date outside window",IF(G74&lt;Setup!$I$4,"Window expired",IF(OR(M74="",N74="Outside configured ranges"),"Outside age bands","Ready"))))))))))))</f>
        <v/>
      </c>
      <c r="S74" s="27">
        <f>IF(R74&lt;&gt;"Ready","",ROUND(O74*Setup!$I$5+MAX(0,Setup!$I$6-MAX(0,P74))*Setup!$I$7+Q74,1))</f>
        <v/>
      </c>
      <c r="T74" s="16">
        <f>IF(S74="","",1+COUNTIFS($R$2:$R$201,"Ready",$N$2:$N$201,N74,$S$2:$S$201,"&gt;"&amp;S74)+COUNTIFS($R$2:$R$201,"Ready",$N$2:$N$201,N74,$S$2:$S$201,"="&amp;S74,$B$2:$B$201,"&lt;"&amp;B74)+COUNTIFS($R$2:$R$201,"Ready",$N$2:$N$201,N74,$S$2:$S$201,"="&amp;S74,$B$2:$B$201,"="&amp;B74,$A$2:$A$201,"&lt;"&amp;A74))</f>
        <v/>
      </c>
      <c r="U74" s="17">
        <f>IF(A74="","",IF(R74&lt;&gt;"Ready",R74,IF(AND(K74="Not Contacted",J74&lt;&gt;""),"Clear last contact date or update outcome",IF(AND(K74&lt;&gt;"Not Contacted",J74=""),"Add last contact date",IF(AND(J74&lt;&gt;"",J74&gt;Setup!$I$4),"Last contact is after review date",IF(K74="Declined","Align status with declined outcome",IF(AND(L74&lt;&gt;"",L74&gt;G74),"Follow-up is after latest start",IF(AND(L74&lt;&gt;"",L74&lt;Setup!$I$4),"Follow-up overdue",IF(AND(L74&lt;&gt;"",L74&lt;=Setup!$I$4+Setup!$I$9),"Follow-up due soon",IF(AND(J74&lt;&gt;"",Setup!$I$4-J74&gt;Setup!$I$8),"Contact may be stale",""))))))))))</f>
        <v/>
      </c>
    </row>
    <row r="75" ht="22" customHeight="1">
      <c r="A75" s="13" t="n"/>
      <c r="B75" s="14" t="n"/>
      <c r="C75" s="15" t="n"/>
      <c r="D75" s="14" t="n"/>
      <c r="E75" s="14" t="n"/>
      <c r="F75" s="14" t="n"/>
      <c r="G75" s="14" t="n"/>
      <c r="H75" s="15" t="n"/>
      <c r="I75" s="13" t="n"/>
      <c r="J75" s="14" t="n"/>
      <c r="K75" s="15" t="n"/>
      <c r="L75" s="14" t="n"/>
      <c r="M75" s="16">
        <f>IF(OR(D75="",E75=""),"",12*(YEAR(E75)-YEAR(D75))+MONTH(E75)-MONTH(D75)-IF(DAY(E75)&lt;DAY(D75),1,0))</f>
        <v/>
      </c>
      <c r="N75" s="17">
        <f>IF(M75="","",IFERROR(IF(M75&lt;=VLOOKUP(M75,Setup!$A$4:$C$7,3,TRUE),VLOOKUP(M75,Setup!$A$4:$C$7,2,TRUE),"Outside configured ranges"),"Outside configured ranges"))</f>
        <v/>
      </c>
      <c r="O75" s="16">
        <f>IF(OR(B75="",B75&gt;Setup!$I$4),"",Setup!$I$4-B75)</f>
        <v/>
      </c>
      <c r="P75" s="16">
        <f>IF(G75="","",G75-Setup!$I$4)</f>
        <v/>
      </c>
      <c r="Q75" s="27">
        <f>IF(K75="","",IFERROR(VLOOKUP(K75,Setup!$E$4:$F$9,2,FALSE),""))</f>
        <v/>
      </c>
      <c r="R75" s="17">
        <f>IF(A75="","",IF(OR(B75="",C75="",D75="",E75="",F75="",G75="",H75="",I75="",K75=""),"Incomplete",IF(COUNTIF(Setup!$K$4:$K$8,I75)=0,"Invalid status",IF(COUNTIF(Setup!$L$4:$L$8,H75)=0,"Invalid schedule",IF(COUNTIF(Setup!$E$4:$E$9,K75)=0,"Invalid contact outcome",IF(I75&lt;&gt;"Active","Not active",IF(B75&gt;Setup!$I$4,"Future waitlist date",IF(D75&gt;E75,"Invalid age/date",IF(F75&gt;G75,"Invalid window",IF(OR(E75&lt;F75,E75&gt;G75),"Preferred date outside window",IF(G75&lt;Setup!$I$4,"Window expired",IF(OR(M75="",N75="Outside configured ranges"),"Outside age bands","Ready"))))))))))))</f>
        <v/>
      </c>
      <c r="S75" s="27">
        <f>IF(R75&lt;&gt;"Ready","",ROUND(O75*Setup!$I$5+MAX(0,Setup!$I$6-MAX(0,P75))*Setup!$I$7+Q75,1))</f>
        <v/>
      </c>
      <c r="T75" s="16">
        <f>IF(S75="","",1+COUNTIFS($R$2:$R$201,"Ready",$N$2:$N$201,N75,$S$2:$S$201,"&gt;"&amp;S75)+COUNTIFS($R$2:$R$201,"Ready",$N$2:$N$201,N75,$S$2:$S$201,"="&amp;S75,$B$2:$B$201,"&lt;"&amp;B75)+COUNTIFS($R$2:$R$201,"Ready",$N$2:$N$201,N75,$S$2:$S$201,"="&amp;S75,$B$2:$B$201,"="&amp;B75,$A$2:$A$201,"&lt;"&amp;A75))</f>
        <v/>
      </c>
      <c r="U75" s="17">
        <f>IF(A75="","",IF(R75&lt;&gt;"Ready",R75,IF(AND(K75="Not Contacted",J75&lt;&gt;""),"Clear last contact date or update outcome",IF(AND(K75&lt;&gt;"Not Contacted",J75=""),"Add last contact date",IF(AND(J75&lt;&gt;"",J75&gt;Setup!$I$4),"Last contact is after review date",IF(K75="Declined","Align status with declined outcome",IF(AND(L75&lt;&gt;"",L75&gt;G75),"Follow-up is after latest start",IF(AND(L75&lt;&gt;"",L75&lt;Setup!$I$4),"Follow-up overdue",IF(AND(L75&lt;&gt;"",L75&lt;=Setup!$I$4+Setup!$I$9),"Follow-up due soon",IF(AND(J75&lt;&gt;"",Setup!$I$4-J75&gt;Setup!$I$8),"Contact may be stale",""))))))))))</f>
        <v/>
      </c>
    </row>
    <row r="76" ht="22" customHeight="1">
      <c r="A76" s="13" t="n"/>
      <c r="B76" s="14" t="n"/>
      <c r="C76" s="15" t="n"/>
      <c r="D76" s="14" t="n"/>
      <c r="E76" s="14" t="n"/>
      <c r="F76" s="14" t="n"/>
      <c r="G76" s="14" t="n"/>
      <c r="H76" s="15" t="n"/>
      <c r="I76" s="13" t="n"/>
      <c r="J76" s="14" t="n"/>
      <c r="K76" s="15" t="n"/>
      <c r="L76" s="14" t="n"/>
      <c r="M76" s="16">
        <f>IF(OR(D76="",E76=""),"",12*(YEAR(E76)-YEAR(D76))+MONTH(E76)-MONTH(D76)-IF(DAY(E76)&lt;DAY(D76),1,0))</f>
        <v/>
      </c>
      <c r="N76" s="17">
        <f>IF(M76="","",IFERROR(IF(M76&lt;=VLOOKUP(M76,Setup!$A$4:$C$7,3,TRUE),VLOOKUP(M76,Setup!$A$4:$C$7,2,TRUE),"Outside configured ranges"),"Outside configured ranges"))</f>
        <v/>
      </c>
      <c r="O76" s="16">
        <f>IF(OR(B76="",B76&gt;Setup!$I$4),"",Setup!$I$4-B76)</f>
        <v/>
      </c>
      <c r="P76" s="16">
        <f>IF(G76="","",G76-Setup!$I$4)</f>
        <v/>
      </c>
      <c r="Q76" s="27">
        <f>IF(K76="","",IFERROR(VLOOKUP(K76,Setup!$E$4:$F$9,2,FALSE),""))</f>
        <v/>
      </c>
      <c r="R76" s="17">
        <f>IF(A76="","",IF(OR(B76="",C76="",D76="",E76="",F76="",G76="",H76="",I76="",K76=""),"Incomplete",IF(COUNTIF(Setup!$K$4:$K$8,I76)=0,"Invalid status",IF(COUNTIF(Setup!$L$4:$L$8,H76)=0,"Invalid schedule",IF(COUNTIF(Setup!$E$4:$E$9,K76)=0,"Invalid contact outcome",IF(I76&lt;&gt;"Active","Not active",IF(B76&gt;Setup!$I$4,"Future waitlist date",IF(D76&gt;E76,"Invalid age/date",IF(F76&gt;G76,"Invalid window",IF(OR(E76&lt;F76,E76&gt;G76),"Preferred date outside window",IF(G76&lt;Setup!$I$4,"Window expired",IF(OR(M76="",N76="Outside configured ranges"),"Outside age bands","Ready"))))))))))))</f>
        <v/>
      </c>
      <c r="S76" s="27">
        <f>IF(R76&lt;&gt;"Ready","",ROUND(O76*Setup!$I$5+MAX(0,Setup!$I$6-MAX(0,P76))*Setup!$I$7+Q76,1))</f>
        <v/>
      </c>
      <c r="T76" s="16">
        <f>IF(S76="","",1+COUNTIFS($R$2:$R$201,"Ready",$N$2:$N$201,N76,$S$2:$S$201,"&gt;"&amp;S76)+COUNTIFS($R$2:$R$201,"Ready",$N$2:$N$201,N76,$S$2:$S$201,"="&amp;S76,$B$2:$B$201,"&lt;"&amp;B76)+COUNTIFS($R$2:$R$201,"Ready",$N$2:$N$201,N76,$S$2:$S$201,"="&amp;S76,$B$2:$B$201,"="&amp;B76,$A$2:$A$201,"&lt;"&amp;A76))</f>
        <v/>
      </c>
      <c r="U76" s="17">
        <f>IF(A76="","",IF(R76&lt;&gt;"Ready",R76,IF(AND(K76="Not Contacted",J76&lt;&gt;""),"Clear last contact date or update outcome",IF(AND(K76&lt;&gt;"Not Contacted",J76=""),"Add last contact date",IF(AND(J76&lt;&gt;"",J76&gt;Setup!$I$4),"Last contact is after review date",IF(K76="Declined","Align status with declined outcome",IF(AND(L76&lt;&gt;"",L76&gt;G76),"Follow-up is after latest start",IF(AND(L76&lt;&gt;"",L76&lt;Setup!$I$4),"Follow-up overdue",IF(AND(L76&lt;&gt;"",L76&lt;=Setup!$I$4+Setup!$I$9),"Follow-up due soon",IF(AND(J76&lt;&gt;"",Setup!$I$4-J76&gt;Setup!$I$8),"Contact may be stale",""))))))))))</f>
        <v/>
      </c>
    </row>
    <row r="77" ht="22" customHeight="1">
      <c r="A77" s="13" t="n"/>
      <c r="B77" s="14" t="n"/>
      <c r="C77" s="15" t="n"/>
      <c r="D77" s="14" t="n"/>
      <c r="E77" s="14" t="n"/>
      <c r="F77" s="14" t="n"/>
      <c r="G77" s="14" t="n"/>
      <c r="H77" s="15" t="n"/>
      <c r="I77" s="13" t="n"/>
      <c r="J77" s="14" t="n"/>
      <c r="K77" s="15" t="n"/>
      <c r="L77" s="14" t="n"/>
      <c r="M77" s="16">
        <f>IF(OR(D77="",E77=""),"",12*(YEAR(E77)-YEAR(D77))+MONTH(E77)-MONTH(D77)-IF(DAY(E77)&lt;DAY(D77),1,0))</f>
        <v/>
      </c>
      <c r="N77" s="17">
        <f>IF(M77="","",IFERROR(IF(M77&lt;=VLOOKUP(M77,Setup!$A$4:$C$7,3,TRUE),VLOOKUP(M77,Setup!$A$4:$C$7,2,TRUE),"Outside configured ranges"),"Outside configured ranges"))</f>
        <v/>
      </c>
      <c r="O77" s="16">
        <f>IF(OR(B77="",B77&gt;Setup!$I$4),"",Setup!$I$4-B77)</f>
        <v/>
      </c>
      <c r="P77" s="16">
        <f>IF(G77="","",G77-Setup!$I$4)</f>
        <v/>
      </c>
      <c r="Q77" s="27">
        <f>IF(K77="","",IFERROR(VLOOKUP(K77,Setup!$E$4:$F$9,2,FALSE),""))</f>
        <v/>
      </c>
      <c r="R77" s="17">
        <f>IF(A77="","",IF(OR(B77="",C77="",D77="",E77="",F77="",G77="",H77="",I77="",K77=""),"Incomplete",IF(COUNTIF(Setup!$K$4:$K$8,I77)=0,"Invalid status",IF(COUNTIF(Setup!$L$4:$L$8,H77)=0,"Invalid schedule",IF(COUNTIF(Setup!$E$4:$E$9,K77)=0,"Invalid contact outcome",IF(I77&lt;&gt;"Active","Not active",IF(B77&gt;Setup!$I$4,"Future waitlist date",IF(D77&gt;E77,"Invalid age/date",IF(F77&gt;G77,"Invalid window",IF(OR(E77&lt;F77,E77&gt;G77),"Preferred date outside window",IF(G77&lt;Setup!$I$4,"Window expired",IF(OR(M77="",N77="Outside configured ranges"),"Outside age bands","Ready"))))))))))))</f>
        <v/>
      </c>
      <c r="S77" s="27">
        <f>IF(R77&lt;&gt;"Ready","",ROUND(O77*Setup!$I$5+MAX(0,Setup!$I$6-MAX(0,P77))*Setup!$I$7+Q77,1))</f>
        <v/>
      </c>
      <c r="T77" s="16">
        <f>IF(S77="","",1+COUNTIFS($R$2:$R$201,"Ready",$N$2:$N$201,N77,$S$2:$S$201,"&gt;"&amp;S77)+COUNTIFS($R$2:$R$201,"Ready",$N$2:$N$201,N77,$S$2:$S$201,"="&amp;S77,$B$2:$B$201,"&lt;"&amp;B77)+COUNTIFS($R$2:$R$201,"Ready",$N$2:$N$201,N77,$S$2:$S$201,"="&amp;S77,$B$2:$B$201,"="&amp;B77,$A$2:$A$201,"&lt;"&amp;A77))</f>
        <v/>
      </c>
      <c r="U77" s="17">
        <f>IF(A77="","",IF(R77&lt;&gt;"Ready",R77,IF(AND(K77="Not Contacted",J77&lt;&gt;""),"Clear last contact date or update outcome",IF(AND(K77&lt;&gt;"Not Contacted",J77=""),"Add last contact date",IF(AND(J77&lt;&gt;"",J77&gt;Setup!$I$4),"Last contact is after review date",IF(K77="Declined","Align status with declined outcome",IF(AND(L77&lt;&gt;"",L77&gt;G77),"Follow-up is after latest start",IF(AND(L77&lt;&gt;"",L77&lt;Setup!$I$4),"Follow-up overdue",IF(AND(L77&lt;&gt;"",L77&lt;=Setup!$I$4+Setup!$I$9),"Follow-up due soon",IF(AND(J77&lt;&gt;"",Setup!$I$4-J77&gt;Setup!$I$8),"Contact may be stale",""))))))))))</f>
        <v/>
      </c>
    </row>
    <row r="78" ht="22" customHeight="1">
      <c r="A78" s="13" t="n"/>
      <c r="B78" s="14" t="n"/>
      <c r="C78" s="15" t="n"/>
      <c r="D78" s="14" t="n"/>
      <c r="E78" s="14" t="n"/>
      <c r="F78" s="14" t="n"/>
      <c r="G78" s="14" t="n"/>
      <c r="H78" s="15" t="n"/>
      <c r="I78" s="13" t="n"/>
      <c r="J78" s="14" t="n"/>
      <c r="K78" s="15" t="n"/>
      <c r="L78" s="14" t="n"/>
      <c r="M78" s="16">
        <f>IF(OR(D78="",E78=""),"",12*(YEAR(E78)-YEAR(D78))+MONTH(E78)-MONTH(D78)-IF(DAY(E78)&lt;DAY(D78),1,0))</f>
        <v/>
      </c>
      <c r="N78" s="17">
        <f>IF(M78="","",IFERROR(IF(M78&lt;=VLOOKUP(M78,Setup!$A$4:$C$7,3,TRUE),VLOOKUP(M78,Setup!$A$4:$C$7,2,TRUE),"Outside configured ranges"),"Outside configured ranges"))</f>
        <v/>
      </c>
      <c r="O78" s="16">
        <f>IF(OR(B78="",B78&gt;Setup!$I$4),"",Setup!$I$4-B78)</f>
        <v/>
      </c>
      <c r="P78" s="16">
        <f>IF(G78="","",G78-Setup!$I$4)</f>
        <v/>
      </c>
      <c r="Q78" s="27">
        <f>IF(K78="","",IFERROR(VLOOKUP(K78,Setup!$E$4:$F$9,2,FALSE),""))</f>
        <v/>
      </c>
      <c r="R78" s="17">
        <f>IF(A78="","",IF(OR(B78="",C78="",D78="",E78="",F78="",G78="",H78="",I78="",K78=""),"Incomplete",IF(COUNTIF(Setup!$K$4:$K$8,I78)=0,"Invalid status",IF(COUNTIF(Setup!$L$4:$L$8,H78)=0,"Invalid schedule",IF(COUNTIF(Setup!$E$4:$E$9,K78)=0,"Invalid contact outcome",IF(I78&lt;&gt;"Active","Not active",IF(B78&gt;Setup!$I$4,"Future waitlist date",IF(D78&gt;E78,"Invalid age/date",IF(F78&gt;G78,"Invalid window",IF(OR(E78&lt;F78,E78&gt;G78),"Preferred date outside window",IF(G78&lt;Setup!$I$4,"Window expired",IF(OR(M78="",N78="Outside configured ranges"),"Outside age bands","Ready"))))))))))))</f>
        <v/>
      </c>
      <c r="S78" s="27">
        <f>IF(R78&lt;&gt;"Ready","",ROUND(O78*Setup!$I$5+MAX(0,Setup!$I$6-MAX(0,P78))*Setup!$I$7+Q78,1))</f>
        <v/>
      </c>
      <c r="T78" s="16">
        <f>IF(S78="","",1+COUNTIFS($R$2:$R$201,"Ready",$N$2:$N$201,N78,$S$2:$S$201,"&gt;"&amp;S78)+COUNTIFS($R$2:$R$201,"Ready",$N$2:$N$201,N78,$S$2:$S$201,"="&amp;S78,$B$2:$B$201,"&lt;"&amp;B78)+COUNTIFS($R$2:$R$201,"Ready",$N$2:$N$201,N78,$S$2:$S$201,"="&amp;S78,$B$2:$B$201,"="&amp;B78,$A$2:$A$201,"&lt;"&amp;A78))</f>
        <v/>
      </c>
      <c r="U78" s="17">
        <f>IF(A78="","",IF(R78&lt;&gt;"Ready",R78,IF(AND(K78="Not Contacted",J78&lt;&gt;""),"Clear last contact date or update outcome",IF(AND(K78&lt;&gt;"Not Contacted",J78=""),"Add last contact date",IF(AND(J78&lt;&gt;"",J78&gt;Setup!$I$4),"Last contact is after review date",IF(K78="Declined","Align status with declined outcome",IF(AND(L78&lt;&gt;"",L78&gt;G78),"Follow-up is after latest start",IF(AND(L78&lt;&gt;"",L78&lt;Setup!$I$4),"Follow-up overdue",IF(AND(L78&lt;&gt;"",L78&lt;=Setup!$I$4+Setup!$I$9),"Follow-up due soon",IF(AND(J78&lt;&gt;"",Setup!$I$4-J78&gt;Setup!$I$8),"Contact may be stale",""))))))))))</f>
        <v/>
      </c>
    </row>
    <row r="79" ht="22" customHeight="1">
      <c r="A79" s="13" t="n"/>
      <c r="B79" s="14" t="n"/>
      <c r="C79" s="15" t="n"/>
      <c r="D79" s="14" t="n"/>
      <c r="E79" s="14" t="n"/>
      <c r="F79" s="14" t="n"/>
      <c r="G79" s="14" t="n"/>
      <c r="H79" s="15" t="n"/>
      <c r="I79" s="13" t="n"/>
      <c r="J79" s="14" t="n"/>
      <c r="K79" s="15" t="n"/>
      <c r="L79" s="14" t="n"/>
      <c r="M79" s="16">
        <f>IF(OR(D79="",E79=""),"",12*(YEAR(E79)-YEAR(D79))+MONTH(E79)-MONTH(D79)-IF(DAY(E79)&lt;DAY(D79),1,0))</f>
        <v/>
      </c>
      <c r="N79" s="17">
        <f>IF(M79="","",IFERROR(IF(M79&lt;=VLOOKUP(M79,Setup!$A$4:$C$7,3,TRUE),VLOOKUP(M79,Setup!$A$4:$C$7,2,TRUE),"Outside configured ranges"),"Outside configured ranges"))</f>
        <v/>
      </c>
      <c r="O79" s="16">
        <f>IF(OR(B79="",B79&gt;Setup!$I$4),"",Setup!$I$4-B79)</f>
        <v/>
      </c>
      <c r="P79" s="16">
        <f>IF(G79="","",G79-Setup!$I$4)</f>
        <v/>
      </c>
      <c r="Q79" s="27">
        <f>IF(K79="","",IFERROR(VLOOKUP(K79,Setup!$E$4:$F$9,2,FALSE),""))</f>
        <v/>
      </c>
      <c r="R79" s="17">
        <f>IF(A79="","",IF(OR(B79="",C79="",D79="",E79="",F79="",G79="",H79="",I79="",K79=""),"Incomplete",IF(COUNTIF(Setup!$K$4:$K$8,I79)=0,"Invalid status",IF(COUNTIF(Setup!$L$4:$L$8,H79)=0,"Invalid schedule",IF(COUNTIF(Setup!$E$4:$E$9,K79)=0,"Invalid contact outcome",IF(I79&lt;&gt;"Active","Not active",IF(B79&gt;Setup!$I$4,"Future waitlist date",IF(D79&gt;E79,"Invalid age/date",IF(F79&gt;G79,"Invalid window",IF(OR(E79&lt;F79,E79&gt;G79),"Preferred date outside window",IF(G79&lt;Setup!$I$4,"Window expired",IF(OR(M79="",N79="Outside configured ranges"),"Outside age bands","Ready"))))))))))))</f>
        <v/>
      </c>
      <c r="S79" s="27">
        <f>IF(R79&lt;&gt;"Ready","",ROUND(O79*Setup!$I$5+MAX(0,Setup!$I$6-MAX(0,P79))*Setup!$I$7+Q79,1))</f>
        <v/>
      </c>
      <c r="T79" s="16">
        <f>IF(S79="","",1+COUNTIFS($R$2:$R$201,"Ready",$N$2:$N$201,N79,$S$2:$S$201,"&gt;"&amp;S79)+COUNTIFS($R$2:$R$201,"Ready",$N$2:$N$201,N79,$S$2:$S$201,"="&amp;S79,$B$2:$B$201,"&lt;"&amp;B79)+COUNTIFS($R$2:$R$201,"Ready",$N$2:$N$201,N79,$S$2:$S$201,"="&amp;S79,$B$2:$B$201,"="&amp;B79,$A$2:$A$201,"&lt;"&amp;A79))</f>
        <v/>
      </c>
      <c r="U79" s="17">
        <f>IF(A79="","",IF(R79&lt;&gt;"Ready",R79,IF(AND(K79="Not Contacted",J79&lt;&gt;""),"Clear last contact date or update outcome",IF(AND(K79&lt;&gt;"Not Contacted",J79=""),"Add last contact date",IF(AND(J79&lt;&gt;"",J79&gt;Setup!$I$4),"Last contact is after review date",IF(K79="Declined","Align status with declined outcome",IF(AND(L79&lt;&gt;"",L79&gt;G79),"Follow-up is after latest start",IF(AND(L79&lt;&gt;"",L79&lt;Setup!$I$4),"Follow-up overdue",IF(AND(L79&lt;&gt;"",L79&lt;=Setup!$I$4+Setup!$I$9),"Follow-up due soon",IF(AND(J79&lt;&gt;"",Setup!$I$4-J79&gt;Setup!$I$8),"Contact may be stale",""))))))))))</f>
        <v/>
      </c>
    </row>
    <row r="80" ht="22" customHeight="1">
      <c r="A80" s="13" t="n"/>
      <c r="B80" s="14" t="n"/>
      <c r="C80" s="15" t="n"/>
      <c r="D80" s="14" t="n"/>
      <c r="E80" s="14" t="n"/>
      <c r="F80" s="14" t="n"/>
      <c r="G80" s="14" t="n"/>
      <c r="H80" s="15" t="n"/>
      <c r="I80" s="13" t="n"/>
      <c r="J80" s="14" t="n"/>
      <c r="K80" s="15" t="n"/>
      <c r="L80" s="14" t="n"/>
      <c r="M80" s="16">
        <f>IF(OR(D80="",E80=""),"",12*(YEAR(E80)-YEAR(D80))+MONTH(E80)-MONTH(D80)-IF(DAY(E80)&lt;DAY(D80),1,0))</f>
        <v/>
      </c>
      <c r="N80" s="17">
        <f>IF(M80="","",IFERROR(IF(M80&lt;=VLOOKUP(M80,Setup!$A$4:$C$7,3,TRUE),VLOOKUP(M80,Setup!$A$4:$C$7,2,TRUE),"Outside configured ranges"),"Outside configured ranges"))</f>
        <v/>
      </c>
      <c r="O80" s="16">
        <f>IF(OR(B80="",B80&gt;Setup!$I$4),"",Setup!$I$4-B80)</f>
        <v/>
      </c>
      <c r="P80" s="16">
        <f>IF(G80="","",G80-Setup!$I$4)</f>
        <v/>
      </c>
      <c r="Q80" s="27">
        <f>IF(K80="","",IFERROR(VLOOKUP(K80,Setup!$E$4:$F$9,2,FALSE),""))</f>
        <v/>
      </c>
      <c r="R80" s="17">
        <f>IF(A80="","",IF(OR(B80="",C80="",D80="",E80="",F80="",G80="",H80="",I80="",K80=""),"Incomplete",IF(COUNTIF(Setup!$K$4:$K$8,I80)=0,"Invalid status",IF(COUNTIF(Setup!$L$4:$L$8,H80)=0,"Invalid schedule",IF(COUNTIF(Setup!$E$4:$E$9,K80)=0,"Invalid contact outcome",IF(I80&lt;&gt;"Active","Not active",IF(B80&gt;Setup!$I$4,"Future waitlist date",IF(D80&gt;E80,"Invalid age/date",IF(F80&gt;G80,"Invalid window",IF(OR(E80&lt;F80,E80&gt;G80),"Preferred date outside window",IF(G80&lt;Setup!$I$4,"Window expired",IF(OR(M80="",N80="Outside configured ranges"),"Outside age bands","Ready"))))))))))))</f>
        <v/>
      </c>
      <c r="S80" s="27">
        <f>IF(R80&lt;&gt;"Ready","",ROUND(O80*Setup!$I$5+MAX(0,Setup!$I$6-MAX(0,P80))*Setup!$I$7+Q80,1))</f>
        <v/>
      </c>
      <c r="T80" s="16">
        <f>IF(S80="","",1+COUNTIFS($R$2:$R$201,"Ready",$N$2:$N$201,N80,$S$2:$S$201,"&gt;"&amp;S80)+COUNTIFS($R$2:$R$201,"Ready",$N$2:$N$201,N80,$S$2:$S$201,"="&amp;S80,$B$2:$B$201,"&lt;"&amp;B80)+COUNTIFS($R$2:$R$201,"Ready",$N$2:$N$201,N80,$S$2:$S$201,"="&amp;S80,$B$2:$B$201,"="&amp;B80,$A$2:$A$201,"&lt;"&amp;A80))</f>
        <v/>
      </c>
      <c r="U80" s="17">
        <f>IF(A80="","",IF(R80&lt;&gt;"Ready",R80,IF(AND(K80="Not Contacted",J80&lt;&gt;""),"Clear last contact date or update outcome",IF(AND(K80&lt;&gt;"Not Contacted",J80=""),"Add last contact date",IF(AND(J80&lt;&gt;"",J80&gt;Setup!$I$4),"Last contact is after review date",IF(K80="Declined","Align status with declined outcome",IF(AND(L80&lt;&gt;"",L80&gt;G80),"Follow-up is after latest start",IF(AND(L80&lt;&gt;"",L80&lt;Setup!$I$4),"Follow-up overdue",IF(AND(L80&lt;&gt;"",L80&lt;=Setup!$I$4+Setup!$I$9),"Follow-up due soon",IF(AND(J80&lt;&gt;"",Setup!$I$4-J80&gt;Setup!$I$8),"Contact may be stale",""))))))))))</f>
        <v/>
      </c>
    </row>
    <row r="81" ht="22" customHeight="1">
      <c r="A81" s="13" t="n"/>
      <c r="B81" s="14" t="n"/>
      <c r="C81" s="15" t="n"/>
      <c r="D81" s="14" t="n"/>
      <c r="E81" s="14" t="n"/>
      <c r="F81" s="14" t="n"/>
      <c r="G81" s="14" t="n"/>
      <c r="H81" s="15" t="n"/>
      <c r="I81" s="13" t="n"/>
      <c r="J81" s="14" t="n"/>
      <c r="K81" s="15" t="n"/>
      <c r="L81" s="14" t="n"/>
      <c r="M81" s="16">
        <f>IF(OR(D81="",E81=""),"",12*(YEAR(E81)-YEAR(D81))+MONTH(E81)-MONTH(D81)-IF(DAY(E81)&lt;DAY(D81),1,0))</f>
        <v/>
      </c>
      <c r="N81" s="17">
        <f>IF(M81="","",IFERROR(IF(M81&lt;=VLOOKUP(M81,Setup!$A$4:$C$7,3,TRUE),VLOOKUP(M81,Setup!$A$4:$C$7,2,TRUE),"Outside configured ranges"),"Outside configured ranges"))</f>
        <v/>
      </c>
      <c r="O81" s="16">
        <f>IF(OR(B81="",B81&gt;Setup!$I$4),"",Setup!$I$4-B81)</f>
        <v/>
      </c>
      <c r="P81" s="16">
        <f>IF(G81="","",G81-Setup!$I$4)</f>
        <v/>
      </c>
      <c r="Q81" s="27">
        <f>IF(K81="","",IFERROR(VLOOKUP(K81,Setup!$E$4:$F$9,2,FALSE),""))</f>
        <v/>
      </c>
      <c r="R81" s="17">
        <f>IF(A81="","",IF(OR(B81="",C81="",D81="",E81="",F81="",G81="",H81="",I81="",K81=""),"Incomplete",IF(COUNTIF(Setup!$K$4:$K$8,I81)=0,"Invalid status",IF(COUNTIF(Setup!$L$4:$L$8,H81)=0,"Invalid schedule",IF(COUNTIF(Setup!$E$4:$E$9,K81)=0,"Invalid contact outcome",IF(I81&lt;&gt;"Active","Not active",IF(B81&gt;Setup!$I$4,"Future waitlist date",IF(D81&gt;E81,"Invalid age/date",IF(F81&gt;G81,"Invalid window",IF(OR(E81&lt;F81,E81&gt;G81),"Preferred date outside window",IF(G81&lt;Setup!$I$4,"Window expired",IF(OR(M81="",N81="Outside configured ranges"),"Outside age bands","Ready"))))))))))))</f>
        <v/>
      </c>
      <c r="S81" s="27">
        <f>IF(R81&lt;&gt;"Ready","",ROUND(O81*Setup!$I$5+MAX(0,Setup!$I$6-MAX(0,P81))*Setup!$I$7+Q81,1))</f>
        <v/>
      </c>
      <c r="T81" s="16">
        <f>IF(S81="","",1+COUNTIFS($R$2:$R$201,"Ready",$N$2:$N$201,N81,$S$2:$S$201,"&gt;"&amp;S81)+COUNTIFS($R$2:$R$201,"Ready",$N$2:$N$201,N81,$S$2:$S$201,"="&amp;S81,$B$2:$B$201,"&lt;"&amp;B81)+COUNTIFS($R$2:$R$201,"Ready",$N$2:$N$201,N81,$S$2:$S$201,"="&amp;S81,$B$2:$B$201,"="&amp;B81,$A$2:$A$201,"&lt;"&amp;A81))</f>
        <v/>
      </c>
      <c r="U81" s="17">
        <f>IF(A81="","",IF(R81&lt;&gt;"Ready",R81,IF(AND(K81="Not Contacted",J81&lt;&gt;""),"Clear last contact date or update outcome",IF(AND(K81&lt;&gt;"Not Contacted",J81=""),"Add last contact date",IF(AND(J81&lt;&gt;"",J81&gt;Setup!$I$4),"Last contact is after review date",IF(K81="Declined","Align status with declined outcome",IF(AND(L81&lt;&gt;"",L81&gt;G81),"Follow-up is after latest start",IF(AND(L81&lt;&gt;"",L81&lt;Setup!$I$4),"Follow-up overdue",IF(AND(L81&lt;&gt;"",L81&lt;=Setup!$I$4+Setup!$I$9),"Follow-up due soon",IF(AND(J81&lt;&gt;"",Setup!$I$4-J81&gt;Setup!$I$8),"Contact may be stale",""))))))))))</f>
        <v/>
      </c>
    </row>
    <row r="82" ht="22" customHeight="1">
      <c r="A82" s="13" t="n"/>
      <c r="B82" s="14" t="n"/>
      <c r="C82" s="15" t="n"/>
      <c r="D82" s="14" t="n"/>
      <c r="E82" s="14" t="n"/>
      <c r="F82" s="14" t="n"/>
      <c r="G82" s="14" t="n"/>
      <c r="H82" s="15" t="n"/>
      <c r="I82" s="13" t="n"/>
      <c r="J82" s="14" t="n"/>
      <c r="K82" s="15" t="n"/>
      <c r="L82" s="14" t="n"/>
      <c r="M82" s="16">
        <f>IF(OR(D82="",E82=""),"",12*(YEAR(E82)-YEAR(D82))+MONTH(E82)-MONTH(D82)-IF(DAY(E82)&lt;DAY(D82),1,0))</f>
        <v/>
      </c>
      <c r="N82" s="17">
        <f>IF(M82="","",IFERROR(IF(M82&lt;=VLOOKUP(M82,Setup!$A$4:$C$7,3,TRUE),VLOOKUP(M82,Setup!$A$4:$C$7,2,TRUE),"Outside configured ranges"),"Outside configured ranges"))</f>
        <v/>
      </c>
      <c r="O82" s="16">
        <f>IF(OR(B82="",B82&gt;Setup!$I$4),"",Setup!$I$4-B82)</f>
        <v/>
      </c>
      <c r="P82" s="16">
        <f>IF(G82="","",G82-Setup!$I$4)</f>
        <v/>
      </c>
      <c r="Q82" s="27">
        <f>IF(K82="","",IFERROR(VLOOKUP(K82,Setup!$E$4:$F$9,2,FALSE),""))</f>
        <v/>
      </c>
      <c r="R82" s="17">
        <f>IF(A82="","",IF(OR(B82="",C82="",D82="",E82="",F82="",G82="",H82="",I82="",K82=""),"Incomplete",IF(COUNTIF(Setup!$K$4:$K$8,I82)=0,"Invalid status",IF(COUNTIF(Setup!$L$4:$L$8,H82)=0,"Invalid schedule",IF(COUNTIF(Setup!$E$4:$E$9,K82)=0,"Invalid contact outcome",IF(I82&lt;&gt;"Active","Not active",IF(B82&gt;Setup!$I$4,"Future waitlist date",IF(D82&gt;E82,"Invalid age/date",IF(F82&gt;G82,"Invalid window",IF(OR(E82&lt;F82,E82&gt;G82),"Preferred date outside window",IF(G82&lt;Setup!$I$4,"Window expired",IF(OR(M82="",N82="Outside configured ranges"),"Outside age bands","Ready"))))))))))))</f>
        <v/>
      </c>
      <c r="S82" s="27">
        <f>IF(R82&lt;&gt;"Ready","",ROUND(O82*Setup!$I$5+MAX(0,Setup!$I$6-MAX(0,P82))*Setup!$I$7+Q82,1))</f>
        <v/>
      </c>
      <c r="T82" s="16">
        <f>IF(S82="","",1+COUNTIFS($R$2:$R$201,"Ready",$N$2:$N$201,N82,$S$2:$S$201,"&gt;"&amp;S82)+COUNTIFS($R$2:$R$201,"Ready",$N$2:$N$201,N82,$S$2:$S$201,"="&amp;S82,$B$2:$B$201,"&lt;"&amp;B82)+COUNTIFS($R$2:$R$201,"Ready",$N$2:$N$201,N82,$S$2:$S$201,"="&amp;S82,$B$2:$B$201,"="&amp;B82,$A$2:$A$201,"&lt;"&amp;A82))</f>
        <v/>
      </c>
      <c r="U82" s="17">
        <f>IF(A82="","",IF(R82&lt;&gt;"Ready",R82,IF(AND(K82="Not Contacted",J82&lt;&gt;""),"Clear last contact date or update outcome",IF(AND(K82&lt;&gt;"Not Contacted",J82=""),"Add last contact date",IF(AND(J82&lt;&gt;"",J82&gt;Setup!$I$4),"Last contact is after review date",IF(K82="Declined","Align status with declined outcome",IF(AND(L82&lt;&gt;"",L82&gt;G82),"Follow-up is after latest start",IF(AND(L82&lt;&gt;"",L82&lt;Setup!$I$4),"Follow-up overdue",IF(AND(L82&lt;&gt;"",L82&lt;=Setup!$I$4+Setup!$I$9),"Follow-up due soon",IF(AND(J82&lt;&gt;"",Setup!$I$4-J82&gt;Setup!$I$8),"Contact may be stale",""))))))))))</f>
        <v/>
      </c>
    </row>
    <row r="83" ht="22" customHeight="1">
      <c r="A83" s="13" t="n"/>
      <c r="B83" s="14" t="n"/>
      <c r="C83" s="15" t="n"/>
      <c r="D83" s="14" t="n"/>
      <c r="E83" s="14" t="n"/>
      <c r="F83" s="14" t="n"/>
      <c r="G83" s="14" t="n"/>
      <c r="H83" s="15" t="n"/>
      <c r="I83" s="13" t="n"/>
      <c r="J83" s="14" t="n"/>
      <c r="K83" s="15" t="n"/>
      <c r="L83" s="14" t="n"/>
      <c r="M83" s="16">
        <f>IF(OR(D83="",E83=""),"",12*(YEAR(E83)-YEAR(D83))+MONTH(E83)-MONTH(D83)-IF(DAY(E83)&lt;DAY(D83),1,0))</f>
        <v/>
      </c>
      <c r="N83" s="17">
        <f>IF(M83="","",IFERROR(IF(M83&lt;=VLOOKUP(M83,Setup!$A$4:$C$7,3,TRUE),VLOOKUP(M83,Setup!$A$4:$C$7,2,TRUE),"Outside configured ranges"),"Outside configured ranges"))</f>
        <v/>
      </c>
      <c r="O83" s="16">
        <f>IF(OR(B83="",B83&gt;Setup!$I$4),"",Setup!$I$4-B83)</f>
        <v/>
      </c>
      <c r="P83" s="16">
        <f>IF(G83="","",G83-Setup!$I$4)</f>
        <v/>
      </c>
      <c r="Q83" s="27">
        <f>IF(K83="","",IFERROR(VLOOKUP(K83,Setup!$E$4:$F$9,2,FALSE),""))</f>
        <v/>
      </c>
      <c r="R83" s="17">
        <f>IF(A83="","",IF(OR(B83="",C83="",D83="",E83="",F83="",G83="",H83="",I83="",K83=""),"Incomplete",IF(COUNTIF(Setup!$K$4:$K$8,I83)=0,"Invalid status",IF(COUNTIF(Setup!$L$4:$L$8,H83)=0,"Invalid schedule",IF(COUNTIF(Setup!$E$4:$E$9,K83)=0,"Invalid contact outcome",IF(I83&lt;&gt;"Active","Not active",IF(B83&gt;Setup!$I$4,"Future waitlist date",IF(D83&gt;E83,"Invalid age/date",IF(F83&gt;G83,"Invalid window",IF(OR(E83&lt;F83,E83&gt;G83),"Preferred date outside window",IF(G83&lt;Setup!$I$4,"Window expired",IF(OR(M83="",N83="Outside configured ranges"),"Outside age bands","Ready"))))))))))))</f>
        <v/>
      </c>
      <c r="S83" s="27">
        <f>IF(R83&lt;&gt;"Ready","",ROUND(O83*Setup!$I$5+MAX(0,Setup!$I$6-MAX(0,P83))*Setup!$I$7+Q83,1))</f>
        <v/>
      </c>
      <c r="T83" s="16">
        <f>IF(S83="","",1+COUNTIFS($R$2:$R$201,"Ready",$N$2:$N$201,N83,$S$2:$S$201,"&gt;"&amp;S83)+COUNTIFS($R$2:$R$201,"Ready",$N$2:$N$201,N83,$S$2:$S$201,"="&amp;S83,$B$2:$B$201,"&lt;"&amp;B83)+COUNTIFS($R$2:$R$201,"Ready",$N$2:$N$201,N83,$S$2:$S$201,"="&amp;S83,$B$2:$B$201,"="&amp;B83,$A$2:$A$201,"&lt;"&amp;A83))</f>
        <v/>
      </c>
      <c r="U83" s="17">
        <f>IF(A83="","",IF(R83&lt;&gt;"Ready",R83,IF(AND(K83="Not Contacted",J83&lt;&gt;""),"Clear last contact date or update outcome",IF(AND(K83&lt;&gt;"Not Contacted",J83=""),"Add last contact date",IF(AND(J83&lt;&gt;"",J83&gt;Setup!$I$4),"Last contact is after review date",IF(K83="Declined","Align status with declined outcome",IF(AND(L83&lt;&gt;"",L83&gt;G83),"Follow-up is after latest start",IF(AND(L83&lt;&gt;"",L83&lt;Setup!$I$4),"Follow-up overdue",IF(AND(L83&lt;&gt;"",L83&lt;=Setup!$I$4+Setup!$I$9),"Follow-up due soon",IF(AND(J83&lt;&gt;"",Setup!$I$4-J83&gt;Setup!$I$8),"Contact may be stale",""))))))))))</f>
        <v/>
      </c>
    </row>
    <row r="84" ht="22" customHeight="1">
      <c r="A84" s="13" t="n"/>
      <c r="B84" s="14" t="n"/>
      <c r="C84" s="15" t="n"/>
      <c r="D84" s="14" t="n"/>
      <c r="E84" s="14" t="n"/>
      <c r="F84" s="14" t="n"/>
      <c r="G84" s="14" t="n"/>
      <c r="H84" s="15" t="n"/>
      <c r="I84" s="13" t="n"/>
      <c r="J84" s="14" t="n"/>
      <c r="K84" s="15" t="n"/>
      <c r="L84" s="14" t="n"/>
      <c r="M84" s="16">
        <f>IF(OR(D84="",E84=""),"",12*(YEAR(E84)-YEAR(D84))+MONTH(E84)-MONTH(D84)-IF(DAY(E84)&lt;DAY(D84),1,0))</f>
        <v/>
      </c>
      <c r="N84" s="17">
        <f>IF(M84="","",IFERROR(IF(M84&lt;=VLOOKUP(M84,Setup!$A$4:$C$7,3,TRUE),VLOOKUP(M84,Setup!$A$4:$C$7,2,TRUE),"Outside configured ranges"),"Outside configured ranges"))</f>
        <v/>
      </c>
      <c r="O84" s="16">
        <f>IF(OR(B84="",B84&gt;Setup!$I$4),"",Setup!$I$4-B84)</f>
        <v/>
      </c>
      <c r="P84" s="16">
        <f>IF(G84="","",G84-Setup!$I$4)</f>
        <v/>
      </c>
      <c r="Q84" s="27">
        <f>IF(K84="","",IFERROR(VLOOKUP(K84,Setup!$E$4:$F$9,2,FALSE),""))</f>
        <v/>
      </c>
      <c r="R84" s="17">
        <f>IF(A84="","",IF(OR(B84="",C84="",D84="",E84="",F84="",G84="",H84="",I84="",K84=""),"Incomplete",IF(COUNTIF(Setup!$K$4:$K$8,I84)=0,"Invalid status",IF(COUNTIF(Setup!$L$4:$L$8,H84)=0,"Invalid schedule",IF(COUNTIF(Setup!$E$4:$E$9,K84)=0,"Invalid contact outcome",IF(I84&lt;&gt;"Active","Not active",IF(B84&gt;Setup!$I$4,"Future waitlist date",IF(D84&gt;E84,"Invalid age/date",IF(F84&gt;G84,"Invalid window",IF(OR(E84&lt;F84,E84&gt;G84),"Preferred date outside window",IF(G84&lt;Setup!$I$4,"Window expired",IF(OR(M84="",N84="Outside configured ranges"),"Outside age bands","Ready"))))))))))))</f>
        <v/>
      </c>
      <c r="S84" s="27">
        <f>IF(R84&lt;&gt;"Ready","",ROUND(O84*Setup!$I$5+MAX(0,Setup!$I$6-MAX(0,P84))*Setup!$I$7+Q84,1))</f>
        <v/>
      </c>
      <c r="T84" s="16">
        <f>IF(S84="","",1+COUNTIFS($R$2:$R$201,"Ready",$N$2:$N$201,N84,$S$2:$S$201,"&gt;"&amp;S84)+COUNTIFS($R$2:$R$201,"Ready",$N$2:$N$201,N84,$S$2:$S$201,"="&amp;S84,$B$2:$B$201,"&lt;"&amp;B84)+COUNTIFS($R$2:$R$201,"Ready",$N$2:$N$201,N84,$S$2:$S$201,"="&amp;S84,$B$2:$B$201,"="&amp;B84,$A$2:$A$201,"&lt;"&amp;A84))</f>
        <v/>
      </c>
      <c r="U84" s="17">
        <f>IF(A84="","",IF(R84&lt;&gt;"Ready",R84,IF(AND(K84="Not Contacted",J84&lt;&gt;""),"Clear last contact date or update outcome",IF(AND(K84&lt;&gt;"Not Contacted",J84=""),"Add last contact date",IF(AND(J84&lt;&gt;"",J84&gt;Setup!$I$4),"Last contact is after review date",IF(K84="Declined","Align status with declined outcome",IF(AND(L84&lt;&gt;"",L84&gt;G84),"Follow-up is after latest start",IF(AND(L84&lt;&gt;"",L84&lt;Setup!$I$4),"Follow-up overdue",IF(AND(L84&lt;&gt;"",L84&lt;=Setup!$I$4+Setup!$I$9),"Follow-up due soon",IF(AND(J84&lt;&gt;"",Setup!$I$4-J84&gt;Setup!$I$8),"Contact may be stale",""))))))))))</f>
        <v/>
      </c>
    </row>
    <row r="85" ht="22" customHeight="1">
      <c r="A85" s="13" t="n"/>
      <c r="B85" s="14" t="n"/>
      <c r="C85" s="15" t="n"/>
      <c r="D85" s="14" t="n"/>
      <c r="E85" s="14" t="n"/>
      <c r="F85" s="14" t="n"/>
      <c r="G85" s="14" t="n"/>
      <c r="H85" s="15" t="n"/>
      <c r="I85" s="13" t="n"/>
      <c r="J85" s="14" t="n"/>
      <c r="K85" s="15" t="n"/>
      <c r="L85" s="14" t="n"/>
      <c r="M85" s="16">
        <f>IF(OR(D85="",E85=""),"",12*(YEAR(E85)-YEAR(D85))+MONTH(E85)-MONTH(D85)-IF(DAY(E85)&lt;DAY(D85),1,0))</f>
        <v/>
      </c>
      <c r="N85" s="17">
        <f>IF(M85="","",IFERROR(IF(M85&lt;=VLOOKUP(M85,Setup!$A$4:$C$7,3,TRUE),VLOOKUP(M85,Setup!$A$4:$C$7,2,TRUE),"Outside configured ranges"),"Outside configured ranges"))</f>
        <v/>
      </c>
      <c r="O85" s="16">
        <f>IF(OR(B85="",B85&gt;Setup!$I$4),"",Setup!$I$4-B85)</f>
        <v/>
      </c>
      <c r="P85" s="16">
        <f>IF(G85="","",G85-Setup!$I$4)</f>
        <v/>
      </c>
      <c r="Q85" s="27">
        <f>IF(K85="","",IFERROR(VLOOKUP(K85,Setup!$E$4:$F$9,2,FALSE),""))</f>
        <v/>
      </c>
      <c r="R85" s="17">
        <f>IF(A85="","",IF(OR(B85="",C85="",D85="",E85="",F85="",G85="",H85="",I85="",K85=""),"Incomplete",IF(COUNTIF(Setup!$K$4:$K$8,I85)=0,"Invalid status",IF(COUNTIF(Setup!$L$4:$L$8,H85)=0,"Invalid schedule",IF(COUNTIF(Setup!$E$4:$E$9,K85)=0,"Invalid contact outcome",IF(I85&lt;&gt;"Active","Not active",IF(B85&gt;Setup!$I$4,"Future waitlist date",IF(D85&gt;E85,"Invalid age/date",IF(F85&gt;G85,"Invalid window",IF(OR(E85&lt;F85,E85&gt;G85),"Preferred date outside window",IF(G85&lt;Setup!$I$4,"Window expired",IF(OR(M85="",N85="Outside configured ranges"),"Outside age bands","Ready"))))))))))))</f>
        <v/>
      </c>
      <c r="S85" s="27">
        <f>IF(R85&lt;&gt;"Ready","",ROUND(O85*Setup!$I$5+MAX(0,Setup!$I$6-MAX(0,P85))*Setup!$I$7+Q85,1))</f>
        <v/>
      </c>
      <c r="T85" s="16">
        <f>IF(S85="","",1+COUNTIFS($R$2:$R$201,"Ready",$N$2:$N$201,N85,$S$2:$S$201,"&gt;"&amp;S85)+COUNTIFS($R$2:$R$201,"Ready",$N$2:$N$201,N85,$S$2:$S$201,"="&amp;S85,$B$2:$B$201,"&lt;"&amp;B85)+COUNTIFS($R$2:$R$201,"Ready",$N$2:$N$201,N85,$S$2:$S$201,"="&amp;S85,$B$2:$B$201,"="&amp;B85,$A$2:$A$201,"&lt;"&amp;A85))</f>
        <v/>
      </c>
      <c r="U85" s="17">
        <f>IF(A85="","",IF(R85&lt;&gt;"Ready",R85,IF(AND(K85="Not Contacted",J85&lt;&gt;""),"Clear last contact date or update outcome",IF(AND(K85&lt;&gt;"Not Contacted",J85=""),"Add last contact date",IF(AND(J85&lt;&gt;"",J85&gt;Setup!$I$4),"Last contact is after review date",IF(K85="Declined","Align status with declined outcome",IF(AND(L85&lt;&gt;"",L85&gt;G85),"Follow-up is after latest start",IF(AND(L85&lt;&gt;"",L85&lt;Setup!$I$4),"Follow-up overdue",IF(AND(L85&lt;&gt;"",L85&lt;=Setup!$I$4+Setup!$I$9),"Follow-up due soon",IF(AND(J85&lt;&gt;"",Setup!$I$4-J85&gt;Setup!$I$8),"Contact may be stale",""))))))))))</f>
        <v/>
      </c>
    </row>
    <row r="86" ht="22" customHeight="1">
      <c r="A86" s="13" t="n"/>
      <c r="B86" s="14" t="n"/>
      <c r="C86" s="15" t="n"/>
      <c r="D86" s="14" t="n"/>
      <c r="E86" s="14" t="n"/>
      <c r="F86" s="14" t="n"/>
      <c r="G86" s="14" t="n"/>
      <c r="H86" s="15" t="n"/>
      <c r="I86" s="13" t="n"/>
      <c r="J86" s="14" t="n"/>
      <c r="K86" s="15" t="n"/>
      <c r="L86" s="14" t="n"/>
      <c r="M86" s="16">
        <f>IF(OR(D86="",E86=""),"",12*(YEAR(E86)-YEAR(D86))+MONTH(E86)-MONTH(D86)-IF(DAY(E86)&lt;DAY(D86),1,0))</f>
        <v/>
      </c>
      <c r="N86" s="17">
        <f>IF(M86="","",IFERROR(IF(M86&lt;=VLOOKUP(M86,Setup!$A$4:$C$7,3,TRUE),VLOOKUP(M86,Setup!$A$4:$C$7,2,TRUE),"Outside configured ranges"),"Outside configured ranges"))</f>
        <v/>
      </c>
      <c r="O86" s="16">
        <f>IF(OR(B86="",B86&gt;Setup!$I$4),"",Setup!$I$4-B86)</f>
        <v/>
      </c>
      <c r="P86" s="16">
        <f>IF(G86="","",G86-Setup!$I$4)</f>
        <v/>
      </c>
      <c r="Q86" s="27">
        <f>IF(K86="","",IFERROR(VLOOKUP(K86,Setup!$E$4:$F$9,2,FALSE),""))</f>
        <v/>
      </c>
      <c r="R86" s="17">
        <f>IF(A86="","",IF(OR(B86="",C86="",D86="",E86="",F86="",G86="",H86="",I86="",K86=""),"Incomplete",IF(COUNTIF(Setup!$K$4:$K$8,I86)=0,"Invalid status",IF(COUNTIF(Setup!$L$4:$L$8,H86)=0,"Invalid schedule",IF(COUNTIF(Setup!$E$4:$E$9,K86)=0,"Invalid contact outcome",IF(I86&lt;&gt;"Active","Not active",IF(B86&gt;Setup!$I$4,"Future waitlist date",IF(D86&gt;E86,"Invalid age/date",IF(F86&gt;G86,"Invalid window",IF(OR(E86&lt;F86,E86&gt;G86),"Preferred date outside window",IF(G86&lt;Setup!$I$4,"Window expired",IF(OR(M86="",N86="Outside configured ranges"),"Outside age bands","Ready"))))))))))))</f>
        <v/>
      </c>
      <c r="S86" s="27">
        <f>IF(R86&lt;&gt;"Ready","",ROUND(O86*Setup!$I$5+MAX(0,Setup!$I$6-MAX(0,P86))*Setup!$I$7+Q86,1))</f>
        <v/>
      </c>
      <c r="T86" s="16">
        <f>IF(S86="","",1+COUNTIFS($R$2:$R$201,"Ready",$N$2:$N$201,N86,$S$2:$S$201,"&gt;"&amp;S86)+COUNTIFS($R$2:$R$201,"Ready",$N$2:$N$201,N86,$S$2:$S$201,"="&amp;S86,$B$2:$B$201,"&lt;"&amp;B86)+COUNTIFS($R$2:$R$201,"Ready",$N$2:$N$201,N86,$S$2:$S$201,"="&amp;S86,$B$2:$B$201,"="&amp;B86,$A$2:$A$201,"&lt;"&amp;A86))</f>
        <v/>
      </c>
      <c r="U86" s="17">
        <f>IF(A86="","",IF(R86&lt;&gt;"Ready",R86,IF(AND(K86="Not Contacted",J86&lt;&gt;""),"Clear last contact date or update outcome",IF(AND(K86&lt;&gt;"Not Contacted",J86=""),"Add last contact date",IF(AND(J86&lt;&gt;"",J86&gt;Setup!$I$4),"Last contact is after review date",IF(K86="Declined","Align status with declined outcome",IF(AND(L86&lt;&gt;"",L86&gt;G86),"Follow-up is after latest start",IF(AND(L86&lt;&gt;"",L86&lt;Setup!$I$4),"Follow-up overdue",IF(AND(L86&lt;&gt;"",L86&lt;=Setup!$I$4+Setup!$I$9),"Follow-up due soon",IF(AND(J86&lt;&gt;"",Setup!$I$4-J86&gt;Setup!$I$8),"Contact may be stale",""))))))))))</f>
        <v/>
      </c>
    </row>
    <row r="87" ht="22" customHeight="1">
      <c r="A87" s="13" t="n"/>
      <c r="B87" s="14" t="n"/>
      <c r="C87" s="15" t="n"/>
      <c r="D87" s="14" t="n"/>
      <c r="E87" s="14" t="n"/>
      <c r="F87" s="14" t="n"/>
      <c r="G87" s="14" t="n"/>
      <c r="H87" s="15" t="n"/>
      <c r="I87" s="13" t="n"/>
      <c r="J87" s="14" t="n"/>
      <c r="K87" s="15" t="n"/>
      <c r="L87" s="14" t="n"/>
      <c r="M87" s="16">
        <f>IF(OR(D87="",E87=""),"",12*(YEAR(E87)-YEAR(D87))+MONTH(E87)-MONTH(D87)-IF(DAY(E87)&lt;DAY(D87),1,0))</f>
        <v/>
      </c>
      <c r="N87" s="17">
        <f>IF(M87="","",IFERROR(IF(M87&lt;=VLOOKUP(M87,Setup!$A$4:$C$7,3,TRUE),VLOOKUP(M87,Setup!$A$4:$C$7,2,TRUE),"Outside configured ranges"),"Outside configured ranges"))</f>
        <v/>
      </c>
      <c r="O87" s="16">
        <f>IF(OR(B87="",B87&gt;Setup!$I$4),"",Setup!$I$4-B87)</f>
        <v/>
      </c>
      <c r="P87" s="16">
        <f>IF(G87="","",G87-Setup!$I$4)</f>
        <v/>
      </c>
      <c r="Q87" s="27">
        <f>IF(K87="","",IFERROR(VLOOKUP(K87,Setup!$E$4:$F$9,2,FALSE),""))</f>
        <v/>
      </c>
      <c r="R87" s="17">
        <f>IF(A87="","",IF(OR(B87="",C87="",D87="",E87="",F87="",G87="",H87="",I87="",K87=""),"Incomplete",IF(COUNTIF(Setup!$K$4:$K$8,I87)=0,"Invalid status",IF(COUNTIF(Setup!$L$4:$L$8,H87)=0,"Invalid schedule",IF(COUNTIF(Setup!$E$4:$E$9,K87)=0,"Invalid contact outcome",IF(I87&lt;&gt;"Active","Not active",IF(B87&gt;Setup!$I$4,"Future waitlist date",IF(D87&gt;E87,"Invalid age/date",IF(F87&gt;G87,"Invalid window",IF(OR(E87&lt;F87,E87&gt;G87),"Preferred date outside window",IF(G87&lt;Setup!$I$4,"Window expired",IF(OR(M87="",N87="Outside configured ranges"),"Outside age bands","Ready"))))))))))))</f>
        <v/>
      </c>
      <c r="S87" s="27">
        <f>IF(R87&lt;&gt;"Ready","",ROUND(O87*Setup!$I$5+MAX(0,Setup!$I$6-MAX(0,P87))*Setup!$I$7+Q87,1))</f>
        <v/>
      </c>
      <c r="T87" s="16">
        <f>IF(S87="","",1+COUNTIFS($R$2:$R$201,"Ready",$N$2:$N$201,N87,$S$2:$S$201,"&gt;"&amp;S87)+COUNTIFS($R$2:$R$201,"Ready",$N$2:$N$201,N87,$S$2:$S$201,"="&amp;S87,$B$2:$B$201,"&lt;"&amp;B87)+COUNTIFS($R$2:$R$201,"Ready",$N$2:$N$201,N87,$S$2:$S$201,"="&amp;S87,$B$2:$B$201,"="&amp;B87,$A$2:$A$201,"&lt;"&amp;A87))</f>
        <v/>
      </c>
      <c r="U87" s="17">
        <f>IF(A87="","",IF(R87&lt;&gt;"Ready",R87,IF(AND(K87="Not Contacted",J87&lt;&gt;""),"Clear last contact date or update outcome",IF(AND(K87&lt;&gt;"Not Contacted",J87=""),"Add last contact date",IF(AND(J87&lt;&gt;"",J87&gt;Setup!$I$4),"Last contact is after review date",IF(K87="Declined","Align status with declined outcome",IF(AND(L87&lt;&gt;"",L87&gt;G87),"Follow-up is after latest start",IF(AND(L87&lt;&gt;"",L87&lt;Setup!$I$4),"Follow-up overdue",IF(AND(L87&lt;&gt;"",L87&lt;=Setup!$I$4+Setup!$I$9),"Follow-up due soon",IF(AND(J87&lt;&gt;"",Setup!$I$4-J87&gt;Setup!$I$8),"Contact may be stale",""))))))))))</f>
        <v/>
      </c>
    </row>
    <row r="88" ht="22" customHeight="1">
      <c r="A88" s="13" t="n"/>
      <c r="B88" s="14" t="n"/>
      <c r="C88" s="15" t="n"/>
      <c r="D88" s="14" t="n"/>
      <c r="E88" s="14" t="n"/>
      <c r="F88" s="14" t="n"/>
      <c r="G88" s="14" t="n"/>
      <c r="H88" s="15" t="n"/>
      <c r="I88" s="13" t="n"/>
      <c r="J88" s="14" t="n"/>
      <c r="K88" s="15" t="n"/>
      <c r="L88" s="14" t="n"/>
      <c r="M88" s="16">
        <f>IF(OR(D88="",E88=""),"",12*(YEAR(E88)-YEAR(D88))+MONTH(E88)-MONTH(D88)-IF(DAY(E88)&lt;DAY(D88),1,0))</f>
        <v/>
      </c>
      <c r="N88" s="17">
        <f>IF(M88="","",IFERROR(IF(M88&lt;=VLOOKUP(M88,Setup!$A$4:$C$7,3,TRUE),VLOOKUP(M88,Setup!$A$4:$C$7,2,TRUE),"Outside configured ranges"),"Outside configured ranges"))</f>
        <v/>
      </c>
      <c r="O88" s="16">
        <f>IF(OR(B88="",B88&gt;Setup!$I$4),"",Setup!$I$4-B88)</f>
        <v/>
      </c>
      <c r="P88" s="16">
        <f>IF(G88="","",G88-Setup!$I$4)</f>
        <v/>
      </c>
      <c r="Q88" s="27">
        <f>IF(K88="","",IFERROR(VLOOKUP(K88,Setup!$E$4:$F$9,2,FALSE),""))</f>
        <v/>
      </c>
      <c r="R88" s="17">
        <f>IF(A88="","",IF(OR(B88="",C88="",D88="",E88="",F88="",G88="",H88="",I88="",K88=""),"Incomplete",IF(COUNTIF(Setup!$K$4:$K$8,I88)=0,"Invalid status",IF(COUNTIF(Setup!$L$4:$L$8,H88)=0,"Invalid schedule",IF(COUNTIF(Setup!$E$4:$E$9,K88)=0,"Invalid contact outcome",IF(I88&lt;&gt;"Active","Not active",IF(B88&gt;Setup!$I$4,"Future waitlist date",IF(D88&gt;E88,"Invalid age/date",IF(F88&gt;G88,"Invalid window",IF(OR(E88&lt;F88,E88&gt;G88),"Preferred date outside window",IF(G88&lt;Setup!$I$4,"Window expired",IF(OR(M88="",N88="Outside configured ranges"),"Outside age bands","Ready"))))))))))))</f>
        <v/>
      </c>
      <c r="S88" s="27">
        <f>IF(R88&lt;&gt;"Ready","",ROUND(O88*Setup!$I$5+MAX(0,Setup!$I$6-MAX(0,P88))*Setup!$I$7+Q88,1))</f>
        <v/>
      </c>
      <c r="T88" s="16">
        <f>IF(S88="","",1+COUNTIFS($R$2:$R$201,"Ready",$N$2:$N$201,N88,$S$2:$S$201,"&gt;"&amp;S88)+COUNTIFS($R$2:$R$201,"Ready",$N$2:$N$201,N88,$S$2:$S$201,"="&amp;S88,$B$2:$B$201,"&lt;"&amp;B88)+COUNTIFS($R$2:$R$201,"Ready",$N$2:$N$201,N88,$S$2:$S$201,"="&amp;S88,$B$2:$B$201,"="&amp;B88,$A$2:$A$201,"&lt;"&amp;A88))</f>
        <v/>
      </c>
      <c r="U88" s="17">
        <f>IF(A88="","",IF(R88&lt;&gt;"Ready",R88,IF(AND(K88="Not Contacted",J88&lt;&gt;""),"Clear last contact date or update outcome",IF(AND(K88&lt;&gt;"Not Contacted",J88=""),"Add last contact date",IF(AND(J88&lt;&gt;"",J88&gt;Setup!$I$4),"Last contact is after review date",IF(K88="Declined","Align status with declined outcome",IF(AND(L88&lt;&gt;"",L88&gt;G88),"Follow-up is after latest start",IF(AND(L88&lt;&gt;"",L88&lt;Setup!$I$4),"Follow-up overdue",IF(AND(L88&lt;&gt;"",L88&lt;=Setup!$I$4+Setup!$I$9),"Follow-up due soon",IF(AND(J88&lt;&gt;"",Setup!$I$4-J88&gt;Setup!$I$8),"Contact may be stale",""))))))))))</f>
        <v/>
      </c>
    </row>
    <row r="89" ht="22" customHeight="1">
      <c r="A89" s="13" t="n"/>
      <c r="B89" s="14" t="n"/>
      <c r="C89" s="15" t="n"/>
      <c r="D89" s="14" t="n"/>
      <c r="E89" s="14" t="n"/>
      <c r="F89" s="14" t="n"/>
      <c r="G89" s="14" t="n"/>
      <c r="H89" s="15" t="n"/>
      <c r="I89" s="13" t="n"/>
      <c r="J89" s="14" t="n"/>
      <c r="K89" s="15" t="n"/>
      <c r="L89" s="14" t="n"/>
      <c r="M89" s="16">
        <f>IF(OR(D89="",E89=""),"",12*(YEAR(E89)-YEAR(D89))+MONTH(E89)-MONTH(D89)-IF(DAY(E89)&lt;DAY(D89),1,0))</f>
        <v/>
      </c>
      <c r="N89" s="17">
        <f>IF(M89="","",IFERROR(IF(M89&lt;=VLOOKUP(M89,Setup!$A$4:$C$7,3,TRUE),VLOOKUP(M89,Setup!$A$4:$C$7,2,TRUE),"Outside configured ranges"),"Outside configured ranges"))</f>
        <v/>
      </c>
      <c r="O89" s="16">
        <f>IF(OR(B89="",B89&gt;Setup!$I$4),"",Setup!$I$4-B89)</f>
        <v/>
      </c>
      <c r="P89" s="16">
        <f>IF(G89="","",G89-Setup!$I$4)</f>
        <v/>
      </c>
      <c r="Q89" s="27">
        <f>IF(K89="","",IFERROR(VLOOKUP(K89,Setup!$E$4:$F$9,2,FALSE),""))</f>
        <v/>
      </c>
      <c r="R89" s="17">
        <f>IF(A89="","",IF(OR(B89="",C89="",D89="",E89="",F89="",G89="",H89="",I89="",K89=""),"Incomplete",IF(COUNTIF(Setup!$K$4:$K$8,I89)=0,"Invalid status",IF(COUNTIF(Setup!$L$4:$L$8,H89)=0,"Invalid schedule",IF(COUNTIF(Setup!$E$4:$E$9,K89)=0,"Invalid contact outcome",IF(I89&lt;&gt;"Active","Not active",IF(B89&gt;Setup!$I$4,"Future waitlist date",IF(D89&gt;E89,"Invalid age/date",IF(F89&gt;G89,"Invalid window",IF(OR(E89&lt;F89,E89&gt;G89),"Preferred date outside window",IF(G89&lt;Setup!$I$4,"Window expired",IF(OR(M89="",N89="Outside configured ranges"),"Outside age bands","Ready"))))))))))))</f>
        <v/>
      </c>
      <c r="S89" s="27">
        <f>IF(R89&lt;&gt;"Ready","",ROUND(O89*Setup!$I$5+MAX(0,Setup!$I$6-MAX(0,P89))*Setup!$I$7+Q89,1))</f>
        <v/>
      </c>
      <c r="T89" s="16">
        <f>IF(S89="","",1+COUNTIFS($R$2:$R$201,"Ready",$N$2:$N$201,N89,$S$2:$S$201,"&gt;"&amp;S89)+COUNTIFS($R$2:$R$201,"Ready",$N$2:$N$201,N89,$S$2:$S$201,"="&amp;S89,$B$2:$B$201,"&lt;"&amp;B89)+COUNTIFS($R$2:$R$201,"Ready",$N$2:$N$201,N89,$S$2:$S$201,"="&amp;S89,$B$2:$B$201,"="&amp;B89,$A$2:$A$201,"&lt;"&amp;A89))</f>
        <v/>
      </c>
      <c r="U89" s="17">
        <f>IF(A89="","",IF(R89&lt;&gt;"Ready",R89,IF(AND(K89="Not Contacted",J89&lt;&gt;""),"Clear last contact date or update outcome",IF(AND(K89&lt;&gt;"Not Contacted",J89=""),"Add last contact date",IF(AND(J89&lt;&gt;"",J89&gt;Setup!$I$4),"Last contact is after review date",IF(K89="Declined","Align status with declined outcome",IF(AND(L89&lt;&gt;"",L89&gt;G89),"Follow-up is after latest start",IF(AND(L89&lt;&gt;"",L89&lt;Setup!$I$4),"Follow-up overdue",IF(AND(L89&lt;&gt;"",L89&lt;=Setup!$I$4+Setup!$I$9),"Follow-up due soon",IF(AND(J89&lt;&gt;"",Setup!$I$4-J89&gt;Setup!$I$8),"Contact may be stale",""))))))))))</f>
        <v/>
      </c>
    </row>
    <row r="90" ht="22" customHeight="1">
      <c r="A90" s="13" t="n"/>
      <c r="B90" s="14" t="n"/>
      <c r="C90" s="15" t="n"/>
      <c r="D90" s="14" t="n"/>
      <c r="E90" s="14" t="n"/>
      <c r="F90" s="14" t="n"/>
      <c r="G90" s="14" t="n"/>
      <c r="H90" s="15" t="n"/>
      <c r="I90" s="13" t="n"/>
      <c r="J90" s="14" t="n"/>
      <c r="K90" s="15" t="n"/>
      <c r="L90" s="14" t="n"/>
      <c r="M90" s="16">
        <f>IF(OR(D90="",E90=""),"",12*(YEAR(E90)-YEAR(D90))+MONTH(E90)-MONTH(D90)-IF(DAY(E90)&lt;DAY(D90),1,0))</f>
        <v/>
      </c>
      <c r="N90" s="17">
        <f>IF(M90="","",IFERROR(IF(M90&lt;=VLOOKUP(M90,Setup!$A$4:$C$7,3,TRUE),VLOOKUP(M90,Setup!$A$4:$C$7,2,TRUE),"Outside configured ranges"),"Outside configured ranges"))</f>
        <v/>
      </c>
      <c r="O90" s="16">
        <f>IF(OR(B90="",B90&gt;Setup!$I$4),"",Setup!$I$4-B90)</f>
        <v/>
      </c>
      <c r="P90" s="16">
        <f>IF(G90="","",G90-Setup!$I$4)</f>
        <v/>
      </c>
      <c r="Q90" s="27">
        <f>IF(K90="","",IFERROR(VLOOKUP(K90,Setup!$E$4:$F$9,2,FALSE),""))</f>
        <v/>
      </c>
      <c r="R90" s="17">
        <f>IF(A90="","",IF(OR(B90="",C90="",D90="",E90="",F90="",G90="",H90="",I90="",K90=""),"Incomplete",IF(COUNTIF(Setup!$K$4:$K$8,I90)=0,"Invalid status",IF(COUNTIF(Setup!$L$4:$L$8,H90)=0,"Invalid schedule",IF(COUNTIF(Setup!$E$4:$E$9,K90)=0,"Invalid contact outcome",IF(I90&lt;&gt;"Active","Not active",IF(B90&gt;Setup!$I$4,"Future waitlist date",IF(D90&gt;E90,"Invalid age/date",IF(F90&gt;G90,"Invalid window",IF(OR(E90&lt;F90,E90&gt;G90),"Preferred date outside window",IF(G90&lt;Setup!$I$4,"Window expired",IF(OR(M90="",N90="Outside configured ranges"),"Outside age bands","Ready"))))))))))))</f>
        <v/>
      </c>
      <c r="S90" s="27">
        <f>IF(R90&lt;&gt;"Ready","",ROUND(O90*Setup!$I$5+MAX(0,Setup!$I$6-MAX(0,P90))*Setup!$I$7+Q90,1))</f>
        <v/>
      </c>
      <c r="T90" s="16">
        <f>IF(S90="","",1+COUNTIFS($R$2:$R$201,"Ready",$N$2:$N$201,N90,$S$2:$S$201,"&gt;"&amp;S90)+COUNTIFS($R$2:$R$201,"Ready",$N$2:$N$201,N90,$S$2:$S$201,"="&amp;S90,$B$2:$B$201,"&lt;"&amp;B90)+COUNTIFS($R$2:$R$201,"Ready",$N$2:$N$201,N90,$S$2:$S$201,"="&amp;S90,$B$2:$B$201,"="&amp;B90,$A$2:$A$201,"&lt;"&amp;A90))</f>
        <v/>
      </c>
      <c r="U90" s="17">
        <f>IF(A90="","",IF(R90&lt;&gt;"Ready",R90,IF(AND(K90="Not Contacted",J90&lt;&gt;""),"Clear last contact date or update outcome",IF(AND(K90&lt;&gt;"Not Contacted",J90=""),"Add last contact date",IF(AND(J90&lt;&gt;"",J90&gt;Setup!$I$4),"Last contact is after review date",IF(K90="Declined","Align status with declined outcome",IF(AND(L90&lt;&gt;"",L90&gt;G90),"Follow-up is after latest start",IF(AND(L90&lt;&gt;"",L90&lt;Setup!$I$4),"Follow-up overdue",IF(AND(L90&lt;&gt;"",L90&lt;=Setup!$I$4+Setup!$I$9),"Follow-up due soon",IF(AND(J90&lt;&gt;"",Setup!$I$4-J90&gt;Setup!$I$8),"Contact may be stale",""))))))))))</f>
        <v/>
      </c>
    </row>
    <row r="91" ht="22" customHeight="1">
      <c r="A91" s="13" t="n"/>
      <c r="B91" s="14" t="n"/>
      <c r="C91" s="15" t="n"/>
      <c r="D91" s="14" t="n"/>
      <c r="E91" s="14" t="n"/>
      <c r="F91" s="14" t="n"/>
      <c r="G91" s="14" t="n"/>
      <c r="H91" s="15" t="n"/>
      <c r="I91" s="13" t="n"/>
      <c r="J91" s="14" t="n"/>
      <c r="K91" s="15" t="n"/>
      <c r="L91" s="14" t="n"/>
      <c r="M91" s="16">
        <f>IF(OR(D91="",E91=""),"",12*(YEAR(E91)-YEAR(D91))+MONTH(E91)-MONTH(D91)-IF(DAY(E91)&lt;DAY(D91),1,0))</f>
        <v/>
      </c>
      <c r="N91" s="17">
        <f>IF(M91="","",IFERROR(IF(M91&lt;=VLOOKUP(M91,Setup!$A$4:$C$7,3,TRUE),VLOOKUP(M91,Setup!$A$4:$C$7,2,TRUE),"Outside configured ranges"),"Outside configured ranges"))</f>
        <v/>
      </c>
      <c r="O91" s="16">
        <f>IF(OR(B91="",B91&gt;Setup!$I$4),"",Setup!$I$4-B91)</f>
        <v/>
      </c>
      <c r="P91" s="16">
        <f>IF(G91="","",G91-Setup!$I$4)</f>
        <v/>
      </c>
      <c r="Q91" s="27">
        <f>IF(K91="","",IFERROR(VLOOKUP(K91,Setup!$E$4:$F$9,2,FALSE),""))</f>
        <v/>
      </c>
      <c r="R91" s="17">
        <f>IF(A91="","",IF(OR(B91="",C91="",D91="",E91="",F91="",G91="",H91="",I91="",K91=""),"Incomplete",IF(COUNTIF(Setup!$K$4:$K$8,I91)=0,"Invalid status",IF(COUNTIF(Setup!$L$4:$L$8,H91)=0,"Invalid schedule",IF(COUNTIF(Setup!$E$4:$E$9,K91)=0,"Invalid contact outcome",IF(I91&lt;&gt;"Active","Not active",IF(B91&gt;Setup!$I$4,"Future waitlist date",IF(D91&gt;E91,"Invalid age/date",IF(F91&gt;G91,"Invalid window",IF(OR(E91&lt;F91,E91&gt;G91),"Preferred date outside window",IF(G91&lt;Setup!$I$4,"Window expired",IF(OR(M91="",N91="Outside configured ranges"),"Outside age bands","Ready"))))))))))))</f>
        <v/>
      </c>
      <c r="S91" s="27">
        <f>IF(R91&lt;&gt;"Ready","",ROUND(O91*Setup!$I$5+MAX(0,Setup!$I$6-MAX(0,P91))*Setup!$I$7+Q91,1))</f>
        <v/>
      </c>
      <c r="T91" s="16">
        <f>IF(S91="","",1+COUNTIFS($R$2:$R$201,"Ready",$N$2:$N$201,N91,$S$2:$S$201,"&gt;"&amp;S91)+COUNTIFS($R$2:$R$201,"Ready",$N$2:$N$201,N91,$S$2:$S$201,"="&amp;S91,$B$2:$B$201,"&lt;"&amp;B91)+COUNTIFS($R$2:$R$201,"Ready",$N$2:$N$201,N91,$S$2:$S$201,"="&amp;S91,$B$2:$B$201,"="&amp;B91,$A$2:$A$201,"&lt;"&amp;A91))</f>
        <v/>
      </c>
      <c r="U91" s="17">
        <f>IF(A91="","",IF(R91&lt;&gt;"Ready",R91,IF(AND(K91="Not Contacted",J91&lt;&gt;""),"Clear last contact date or update outcome",IF(AND(K91&lt;&gt;"Not Contacted",J91=""),"Add last contact date",IF(AND(J91&lt;&gt;"",J91&gt;Setup!$I$4),"Last contact is after review date",IF(K91="Declined","Align status with declined outcome",IF(AND(L91&lt;&gt;"",L91&gt;G91),"Follow-up is after latest start",IF(AND(L91&lt;&gt;"",L91&lt;Setup!$I$4),"Follow-up overdue",IF(AND(L91&lt;&gt;"",L91&lt;=Setup!$I$4+Setup!$I$9),"Follow-up due soon",IF(AND(J91&lt;&gt;"",Setup!$I$4-J91&gt;Setup!$I$8),"Contact may be stale",""))))))))))</f>
        <v/>
      </c>
    </row>
    <row r="92" ht="22" customHeight="1">
      <c r="A92" s="13" t="n"/>
      <c r="B92" s="14" t="n"/>
      <c r="C92" s="15" t="n"/>
      <c r="D92" s="14" t="n"/>
      <c r="E92" s="14" t="n"/>
      <c r="F92" s="14" t="n"/>
      <c r="G92" s="14" t="n"/>
      <c r="H92" s="15" t="n"/>
      <c r="I92" s="13" t="n"/>
      <c r="J92" s="14" t="n"/>
      <c r="K92" s="15" t="n"/>
      <c r="L92" s="14" t="n"/>
      <c r="M92" s="16">
        <f>IF(OR(D92="",E92=""),"",12*(YEAR(E92)-YEAR(D92))+MONTH(E92)-MONTH(D92)-IF(DAY(E92)&lt;DAY(D92),1,0))</f>
        <v/>
      </c>
      <c r="N92" s="17">
        <f>IF(M92="","",IFERROR(IF(M92&lt;=VLOOKUP(M92,Setup!$A$4:$C$7,3,TRUE),VLOOKUP(M92,Setup!$A$4:$C$7,2,TRUE),"Outside configured ranges"),"Outside configured ranges"))</f>
        <v/>
      </c>
      <c r="O92" s="16">
        <f>IF(OR(B92="",B92&gt;Setup!$I$4),"",Setup!$I$4-B92)</f>
        <v/>
      </c>
      <c r="P92" s="16">
        <f>IF(G92="","",G92-Setup!$I$4)</f>
        <v/>
      </c>
      <c r="Q92" s="27">
        <f>IF(K92="","",IFERROR(VLOOKUP(K92,Setup!$E$4:$F$9,2,FALSE),""))</f>
        <v/>
      </c>
      <c r="R92" s="17">
        <f>IF(A92="","",IF(OR(B92="",C92="",D92="",E92="",F92="",G92="",H92="",I92="",K92=""),"Incomplete",IF(COUNTIF(Setup!$K$4:$K$8,I92)=0,"Invalid status",IF(COUNTIF(Setup!$L$4:$L$8,H92)=0,"Invalid schedule",IF(COUNTIF(Setup!$E$4:$E$9,K92)=0,"Invalid contact outcome",IF(I92&lt;&gt;"Active","Not active",IF(B92&gt;Setup!$I$4,"Future waitlist date",IF(D92&gt;E92,"Invalid age/date",IF(F92&gt;G92,"Invalid window",IF(OR(E92&lt;F92,E92&gt;G92),"Preferred date outside window",IF(G92&lt;Setup!$I$4,"Window expired",IF(OR(M92="",N92="Outside configured ranges"),"Outside age bands","Ready"))))))))))))</f>
        <v/>
      </c>
      <c r="S92" s="27">
        <f>IF(R92&lt;&gt;"Ready","",ROUND(O92*Setup!$I$5+MAX(0,Setup!$I$6-MAX(0,P92))*Setup!$I$7+Q92,1))</f>
        <v/>
      </c>
      <c r="T92" s="16">
        <f>IF(S92="","",1+COUNTIFS($R$2:$R$201,"Ready",$N$2:$N$201,N92,$S$2:$S$201,"&gt;"&amp;S92)+COUNTIFS($R$2:$R$201,"Ready",$N$2:$N$201,N92,$S$2:$S$201,"="&amp;S92,$B$2:$B$201,"&lt;"&amp;B92)+COUNTIFS($R$2:$R$201,"Ready",$N$2:$N$201,N92,$S$2:$S$201,"="&amp;S92,$B$2:$B$201,"="&amp;B92,$A$2:$A$201,"&lt;"&amp;A92))</f>
        <v/>
      </c>
      <c r="U92" s="17">
        <f>IF(A92="","",IF(R92&lt;&gt;"Ready",R92,IF(AND(K92="Not Contacted",J92&lt;&gt;""),"Clear last contact date or update outcome",IF(AND(K92&lt;&gt;"Not Contacted",J92=""),"Add last contact date",IF(AND(J92&lt;&gt;"",J92&gt;Setup!$I$4),"Last contact is after review date",IF(K92="Declined","Align status with declined outcome",IF(AND(L92&lt;&gt;"",L92&gt;G92),"Follow-up is after latest start",IF(AND(L92&lt;&gt;"",L92&lt;Setup!$I$4),"Follow-up overdue",IF(AND(L92&lt;&gt;"",L92&lt;=Setup!$I$4+Setup!$I$9),"Follow-up due soon",IF(AND(J92&lt;&gt;"",Setup!$I$4-J92&gt;Setup!$I$8),"Contact may be stale",""))))))))))</f>
        <v/>
      </c>
    </row>
    <row r="93" ht="22" customHeight="1">
      <c r="A93" s="13" t="n"/>
      <c r="B93" s="14" t="n"/>
      <c r="C93" s="15" t="n"/>
      <c r="D93" s="14" t="n"/>
      <c r="E93" s="14" t="n"/>
      <c r="F93" s="14" t="n"/>
      <c r="G93" s="14" t="n"/>
      <c r="H93" s="15" t="n"/>
      <c r="I93" s="13" t="n"/>
      <c r="J93" s="14" t="n"/>
      <c r="K93" s="15" t="n"/>
      <c r="L93" s="14" t="n"/>
      <c r="M93" s="16">
        <f>IF(OR(D93="",E93=""),"",12*(YEAR(E93)-YEAR(D93))+MONTH(E93)-MONTH(D93)-IF(DAY(E93)&lt;DAY(D93),1,0))</f>
        <v/>
      </c>
      <c r="N93" s="17">
        <f>IF(M93="","",IFERROR(IF(M93&lt;=VLOOKUP(M93,Setup!$A$4:$C$7,3,TRUE),VLOOKUP(M93,Setup!$A$4:$C$7,2,TRUE),"Outside configured ranges"),"Outside configured ranges"))</f>
        <v/>
      </c>
      <c r="O93" s="16">
        <f>IF(OR(B93="",B93&gt;Setup!$I$4),"",Setup!$I$4-B93)</f>
        <v/>
      </c>
      <c r="P93" s="16">
        <f>IF(G93="","",G93-Setup!$I$4)</f>
        <v/>
      </c>
      <c r="Q93" s="27">
        <f>IF(K93="","",IFERROR(VLOOKUP(K93,Setup!$E$4:$F$9,2,FALSE),""))</f>
        <v/>
      </c>
      <c r="R93" s="17">
        <f>IF(A93="","",IF(OR(B93="",C93="",D93="",E93="",F93="",G93="",H93="",I93="",K93=""),"Incomplete",IF(COUNTIF(Setup!$K$4:$K$8,I93)=0,"Invalid status",IF(COUNTIF(Setup!$L$4:$L$8,H93)=0,"Invalid schedule",IF(COUNTIF(Setup!$E$4:$E$9,K93)=0,"Invalid contact outcome",IF(I93&lt;&gt;"Active","Not active",IF(B93&gt;Setup!$I$4,"Future waitlist date",IF(D93&gt;E93,"Invalid age/date",IF(F93&gt;G93,"Invalid window",IF(OR(E93&lt;F93,E93&gt;G93),"Preferred date outside window",IF(G93&lt;Setup!$I$4,"Window expired",IF(OR(M93="",N93="Outside configured ranges"),"Outside age bands","Ready"))))))))))))</f>
        <v/>
      </c>
      <c r="S93" s="27">
        <f>IF(R93&lt;&gt;"Ready","",ROUND(O93*Setup!$I$5+MAX(0,Setup!$I$6-MAX(0,P93))*Setup!$I$7+Q93,1))</f>
        <v/>
      </c>
      <c r="T93" s="16">
        <f>IF(S93="","",1+COUNTIFS($R$2:$R$201,"Ready",$N$2:$N$201,N93,$S$2:$S$201,"&gt;"&amp;S93)+COUNTIFS($R$2:$R$201,"Ready",$N$2:$N$201,N93,$S$2:$S$201,"="&amp;S93,$B$2:$B$201,"&lt;"&amp;B93)+COUNTIFS($R$2:$R$201,"Ready",$N$2:$N$201,N93,$S$2:$S$201,"="&amp;S93,$B$2:$B$201,"="&amp;B93,$A$2:$A$201,"&lt;"&amp;A93))</f>
        <v/>
      </c>
      <c r="U93" s="17">
        <f>IF(A93="","",IF(R93&lt;&gt;"Ready",R93,IF(AND(K93="Not Contacted",J93&lt;&gt;""),"Clear last contact date or update outcome",IF(AND(K93&lt;&gt;"Not Contacted",J93=""),"Add last contact date",IF(AND(J93&lt;&gt;"",J93&gt;Setup!$I$4),"Last contact is after review date",IF(K93="Declined","Align status with declined outcome",IF(AND(L93&lt;&gt;"",L93&gt;G93),"Follow-up is after latest start",IF(AND(L93&lt;&gt;"",L93&lt;Setup!$I$4),"Follow-up overdue",IF(AND(L93&lt;&gt;"",L93&lt;=Setup!$I$4+Setup!$I$9),"Follow-up due soon",IF(AND(J93&lt;&gt;"",Setup!$I$4-J93&gt;Setup!$I$8),"Contact may be stale",""))))))))))</f>
        <v/>
      </c>
    </row>
    <row r="94" ht="22" customHeight="1">
      <c r="A94" s="13" t="n"/>
      <c r="B94" s="14" t="n"/>
      <c r="C94" s="15" t="n"/>
      <c r="D94" s="14" t="n"/>
      <c r="E94" s="14" t="n"/>
      <c r="F94" s="14" t="n"/>
      <c r="G94" s="14" t="n"/>
      <c r="H94" s="15" t="n"/>
      <c r="I94" s="13" t="n"/>
      <c r="J94" s="14" t="n"/>
      <c r="K94" s="15" t="n"/>
      <c r="L94" s="14" t="n"/>
      <c r="M94" s="16">
        <f>IF(OR(D94="",E94=""),"",12*(YEAR(E94)-YEAR(D94))+MONTH(E94)-MONTH(D94)-IF(DAY(E94)&lt;DAY(D94),1,0))</f>
        <v/>
      </c>
      <c r="N94" s="17">
        <f>IF(M94="","",IFERROR(IF(M94&lt;=VLOOKUP(M94,Setup!$A$4:$C$7,3,TRUE),VLOOKUP(M94,Setup!$A$4:$C$7,2,TRUE),"Outside configured ranges"),"Outside configured ranges"))</f>
        <v/>
      </c>
      <c r="O94" s="16">
        <f>IF(OR(B94="",B94&gt;Setup!$I$4),"",Setup!$I$4-B94)</f>
        <v/>
      </c>
      <c r="P94" s="16">
        <f>IF(G94="","",G94-Setup!$I$4)</f>
        <v/>
      </c>
      <c r="Q94" s="27">
        <f>IF(K94="","",IFERROR(VLOOKUP(K94,Setup!$E$4:$F$9,2,FALSE),""))</f>
        <v/>
      </c>
      <c r="R94" s="17">
        <f>IF(A94="","",IF(OR(B94="",C94="",D94="",E94="",F94="",G94="",H94="",I94="",K94=""),"Incomplete",IF(COUNTIF(Setup!$K$4:$K$8,I94)=0,"Invalid status",IF(COUNTIF(Setup!$L$4:$L$8,H94)=0,"Invalid schedule",IF(COUNTIF(Setup!$E$4:$E$9,K94)=0,"Invalid contact outcome",IF(I94&lt;&gt;"Active","Not active",IF(B94&gt;Setup!$I$4,"Future waitlist date",IF(D94&gt;E94,"Invalid age/date",IF(F94&gt;G94,"Invalid window",IF(OR(E94&lt;F94,E94&gt;G94),"Preferred date outside window",IF(G94&lt;Setup!$I$4,"Window expired",IF(OR(M94="",N94="Outside configured ranges"),"Outside age bands","Ready"))))))))))))</f>
        <v/>
      </c>
      <c r="S94" s="27">
        <f>IF(R94&lt;&gt;"Ready","",ROUND(O94*Setup!$I$5+MAX(0,Setup!$I$6-MAX(0,P94))*Setup!$I$7+Q94,1))</f>
        <v/>
      </c>
      <c r="T94" s="16">
        <f>IF(S94="","",1+COUNTIFS($R$2:$R$201,"Ready",$N$2:$N$201,N94,$S$2:$S$201,"&gt;"&amp;S94)+COUNTIFS($R$2:$R$201,"Ready",$N$2:$N$201,N94,$S$2:$S$201,"="&amp;S94,$B$2:$B$201,"&lt;"&amp;B94)+COUNTIFS($R$2:$R$201,"Ready",$N$2:$N$201,N94,$S$2:$S$201,"="&amp;S94,$B$2:$B$201,"="&amp;B94,$A$2:$A$201,"&lt;"&amp;A94))</f>
        <v/>
      </c>
      <c r="U94" s="17">
        <f>IF(A94="","",IF(R94&lt;&gt;"Ready",R94,IF(AND(K94="Not Contacted",J94&lt;&gt;""),"Clear last contact date or update outcome",IF(AND(K94&lt;&gt;"Not Contacted",J94=""),"Add last contact date",IF(AND(J94&lt;&gt;"",J94&gt;Setup!$I$4),"Last contact is after review date",IF(K94="Declined","Align status with declined outcome",IF(AND(L94&lt;&gt;"",L94&gt;G94),"Follow-up is after latest start",IF(AND(L94&lt;&gt;"",L94&lt;Setup!$I$4),"Follow-up overdue",IF(AND(L94&lt;&gt;"",L94&lt;=Setup!$I$4+Setup!$I$9),"Follow-up due soon",IF(AND(J94&lt;&gt;"",Setup!$I$4-J94&gt;Setup!$I$8),"Contact may be stale",""))))))))))</f>
        <v/>
      </c>
    </row>
    <row r="95" ht="22" customHeight="1">
      <c r="A95" s="13" t="n"/>
      <c r="B95" s="14" t="n"/>
      <c r="C95" s="15" t="n"/>
      <c r="D95" s="14" t="n"/>
      <c r="E95" s="14" t="n"/>
      <c r="F95" s="14" t="n"/>
      <c r="G95" s="14" t="n"/>
      <c r="H95" s="15" t="n"/>
      <c r="I95" s="13" t="n"/>
      <c r="J95" s="14" t="n"/>
      <c r="K95" s="15" t="n"/>
      <c r="L95" s="14" t="n"/>
      <c r="M95" s="16">
        <f>IF(OR(D95="",E95=""),"",12*(YEAR(E95)-YEAR(D95))+MONTH(E95)-MONTH(D95)-IF(DAY(E95)&lt;DAY(D95),1,0))</f>
        <v/>
      </c>
      <c r="N95" s="17">
        <f>IF(M95="","",IFERROR(IF(M95&lt;=VLOOKUP(M95,Setup!$A$4:$C$7,3,TRUE),VLOOKUP(M95,Setup!$A$4:$C$7,2,TRUE),"Outside configured ranges"),"Outside configured ranges"))</f>
        <v/>
      </c>
      <c r="O95" s="16">
        <f>IF(OR(B95="",B95&gt;Setup!$I$4),"",Setup!$I$4-B95)</f>
        <v/>
      </c>
      <c r="P95" s="16">
        <f>IF(G95="","",G95-Setup!$I$4)</f>
        <v/>
      </c>
      <c r="Q95" s="27">
        <f>IF(K95="","",IFERROR(VLOOKUP(K95,Setup!$E$4:$F$9,2,FALSE),""))</f>
        <v/>
      </c>
      <c r="R95" s="17">
        <f>IF(A95="","",IF(OR(B95="",C95="",D95="",E95="",F95="",G95="",H95="",I95="",K95=""),"Incomplete",IF(COUNTIF(Setup!$K$4:$K$8,I95)=0,"Invalid status",IF(COUNTIF(Setup!$L$4:$L$8,H95)=0,"Invalid schedule",IF(COUNTIF(Setup!$E$4:$E$9,K95)=0,"Invalid contact outcome",IF(I95&lt;&gt;"Active","Not active",IF(B95&gt;Setup!$I$4,"Future waitlist date",IF(D95&gt;E95,"Invalid age/date",IF(F95&gt;G95,"Invalid window",IF(OR(E95&lt;F95,E95&gt;G95),"Preferred date outside window",IF(G95&lt;Setup!$I$4,"Window expired",IF(OR(M95="",N95="Outside configured ranges"),"Outside age bands","Ready"))))))))))))</f>
        <v/>
      </c>
      <c r="S95" s="27">
        <f>IF(R95&lt;&gt;"Ready","",ROUND(O95*Setup!$I$5+MAX(0,Setup!$I$6-MAX(0,P95))*Setup!$I$7+Q95,1))</f>
        <v/>
      </c>
      <c r="T95" s="16">
        <f>IF(S95="","",1+COUNTIFS($R$2:$R$201,"Ready",$N$2:$N$201,N95,$S$2:$S$201,"&gt;"&amp;S95)+COUNTIFS($R$2:$R$201,"Ready",$N$2:$N$201,N95,$S$2:$S$201,"="&amp;S95,$B$2:$B$201,"&lt;"&amp;B95)+COUNTIFS($R$2:$R$201,"Ready",$N$2:$N$201,N95,$S$2:$S$201,"="&amp;S95,$B$2:$B$201,"="&amp;B95,$A$2:$A$201,"&lt;"&amp;A95))</f>
        <v/>
      </c>
      <c r="U95" s="17">
        <f>IF(A95="","",IF(R95&lt;&gt;"Ready",R95,IF(AND(K95="Not Contacted",J95&lt;&gt;""),"Clear last contact date or update outcome",IF(AND(K95&lt;&gt;"Not Contacted",J95=""),"Add last contact date",IF(AND(J95&lt;&gt;"",J95&gt;Setup!$I$4),"Last contact is after review date",IF(K95="Declined","Align status with declined outcome",IF(AND(L95&lt;&gt;"",L95&gt;G95),"Follow-up is after latest start",IF(AND(L95&lt;&gt;"",L95&lt;Setup!$I$4),"Follow-up overdue",IF(AND(L95&lt;&gt;"",L95&lt;=Setup!$I$4+Setup!$I$9),"Follow-up due soon",IF(AND(J95&lt;&gt;"",Setup!$I$4-J95&gt;Setup!$I$8),"Contact may be stale",""))))))))))</f>
        <v/>
      </c>
    </row>
    <row r="96" ht="22" customHeight="1">
      <c r="A96" s="13" t="n"/>
      <c r="B96" s="14" t="n"/>
      <c r="C96" s="15" t="n"/>
      <c r="D96" s="14" t="n"/>
      <c r="E96" s="14" t="n"/>
      <c r="F96" s="14" t="n"/>
      <c r="G96" s="14" t="n"/>
      <c r="H96" s="15" t="n"/>
      <c r="I96" s="13" t="n"/>
      <c r="J96" s="14" t="n"/>
      <c r="K96" s="15" t="n"/>
      <c r="L96" s="14" t="n"/>
      <c r="M96" s="16">
        <f>IF(OR(D96="",E96=""),"",12*(YEAR(E96)-YEAR(D96))+MONTH(E96)-MONTH(D96)-IF(DAY(E96)&lt;DAY(D96),1,0))</f>
        <v/>
      </c>
      <c r="N96" s="17">
        <f>IF(M96="","",IFERROR(IF(M96&lt;=VLOOKUP(M96,Setup!$A$4:$C$7,3,TRUE),VLOOKUP(M96,Setup!$A$4:$C$7,2,TRUE),"Outside configured ranges"),"Outside configured ranges"))</f>
        <v/>
      </c>
      <c r="O96" s="16">
        <f>IF(OR(B96="",B96&gt;Setup!$I$4),"",Setup!$I$4-B96)</f>
        <v/>
      </c>
      <c r="P96" s="16">
        <f>IF(G96="","",G96-Setup!$I$4)</f>
        <v/>
      </c>
      <c r="Q96" s="27">
        <f>IF(K96="","",IFERROR(VLOOKUP(K96,Setup!$E$4:$F$9,2,FALSE),""))</f>
        <v/>
      </c>
      <c r="R96" s="17">
        <f>IF(A96="","",IF(OR(B96="",C96="",D96="",E96="",F96="",G96="",H96="",I96="",K96=""),"Incomplete",IF(COUNTIF(Setup!$K$4:$K$8,I96)=0,"Invalid status",IF(COUNTIF(Setup!$L$4:$L$8,H96)=0,"Invalid schedule",IF(COUNTIF(Setup!$E$4:$E$9,K96)=0,"Invalid contact outcome",IF(I96&lt;&gt;"Active","Not active",IF(B96&gt;Setup!$I$4,"Future waitlist date",IF(D96&gt;E96,"Invalid age/date",IF(F96&gt;G96,"Invalid window",IF(OR(E96&lt;F96,E96&gt;G96),"Preferred date outside window",IF(G96&lt;Setup!$I$4,"Window expired",IF(OR(M96="",N96="Outside configured ranges"),"Outside age bands","Ready"))))))))))))</f>
        <v/>
      </c>
      <c r="S96" s="27">
        <f>IF(R96&lt;&gt;"Ready","",ROUND(O96*Setup!$I$5+MAX(0,Setup!$I$6-MAX(0,P96))*Setup!$I$7+Q96,1))</f>
        <v/>
      </c>
      <c r="T96" s="16">
        <f>IF(S96="","",1+COUNTIFS($R$2:$R$201,"Ready",$N$2:$N$201,N96,$S$2:$S$201,"&gt;"&amp;S96)+COUNTIFS($R$2:$R$201,"Ready",$N$2:$N$201,N96,$S$2:$S$201,"="&amp;S96,$B$2:$B$201,"&lt;"&amp;B96)+COUNTIFS($R$2:$R$201,"Ready",$N$2:$N$201,N96,$S$2:$S$201,"="&amp;S96,$B$2:$B$201,"="&amp;B96,$A$2:$A$201,"&lt;"&amp;A96))</f>
        <v/>
      </c>
      <c r="U96" s="17">
        <f>IF(A96="","",IF(R96&lt;&gt;"Ready",R96,IF(AND(K96="Not Contacted",J96&lt;&gt;""),"Clear last contact date or update outcome",IF(AND(K96&lt;&gt;"Not Contacted",J96=""),"Add last contact date",IF(AND(J96&lt;&gt;"",J96&gt;Setup!$I$4),"Last contact is after review date",IF(K96="Declined","Align status with declined outcome",IF(AND(L96&lt;&gt;"",L96&gt;G96),"Follow-up is after latest start",IF(AND(L96&lt;&gt;"",L96&lt;Setup!$I$4),"Follow-up overdue",IF(AND(L96&lt;&gt;"",L96&lt;=Setup!$I$4+Setup!$I$9),"Follow-up due soon",IF(AND(J96&lt;&gt;"",Setup!$I$4-J96&gt;Setup!$I$8),"Contact may be stale",""))))))))))</f>
        <v/>
      </c>
    </row>
    <row r="97" ht="22" customHeight="1">
      <c r="A97" s="13" t="n"/>
      <c r="B97" s="14" t="n"/>
      <c r="C97" s="15" t="n"/>
      <c r="D97" s="14" t="n"/>
      <c r="E97" s="14" t="n"/>
      <c r="F97" s="14" t="n"/>
      <c r="G97" s="14" t="n"/>
      <c r="H97" s="15" t="n"/>
      <c r="I97" s="13" t="n"/>
      <c r="J97" s="14" t="n"/>
      <c r="K97" s="15" t="n"/>
      <c r="L97" s="14" t="n"/>
      <c r="M97" s="16">
        <f>IF(OR(D97="",E97=""),"",12*(YEAR(E97)-YEAR(D97))+MONTH(E97)-MONTH(D97)-IF(DAY(E97)&lt;DAY(D97),1,0))</f>
        <v/>
      </c>
      <c r="N97" s="17">
        <f>IF(M97="","",IFERROR(IF(M97&lt;=VLOOKUP(M97,Setup!$A$4:$C$7,3,TRUE),VLOOKUP(M97,Setup!$A$4:$C$7,2,TRUE),"Outside configured ranges"),"Outside configured ranges"))</f>
        <v/>
      </c>
      <c r="O97" s="16">
        <f>IF(OR(B97="",B97&gt;Setup!$I$4),"",Setup!$I$4-B97)</f>
        <v/>
      </c>
      <c r="P97" s="16">
        <f>IF(G97="","",G97-Setup!$I$4)</f>
        <v/>
      </c>
      <c r="Q97" s="27">
        <f>IF(K97="","",IFERROR(VLOOKUP(K97,Setup!$E$4:$F$9,2,FALSE),""))</f>
        <v/>
      </c>
      <c r="R97" s="17">
        <f>IF(A97="","",IF(OR(B97="",C97="",D97="",E97="",F97="",G97="",H97="",I97="",K97=""),"Incomplete",IF(COUNTIF(Setup!$K$4:$K$8,I97)=0,"Invalid status",IF(COUNTIF(Setup!$L$4:$L$8,H97)=0,"Invalid schedule",IF(COUNTIF(Setup!$E$4:$E$9,K97)=0,"Invalid contact outcome",IF(I97&lt;&gt;"Active","Not active",IF(B97&gt;Setup!$I$4,"Future waitlist date",IF(D97&gt;E97,"Invalid age/date",IF(F97&gt;G97,"Invalid window",IF(OR(E97&lt;F97,E97&gt;G97),"Preferred date outside window",IF(G97&lt;Setup!$I$4,"Window expired",IF(OR(M97="",N97="Outside configured ranges"),"Outside age bands","Ready"))))))))))))</f>
        <v/>
      </c>
      <c r="S97" s="27">
        <f>IF(R97&lt;&gt;"Ready","",ROUND(O97*Setup!$I$5+MAX(0,Setup!$I$6-MAX(0,P97))*Setup!$I$7+Q97,1))</f>
        <v/>
      </c>
      <c r="T97" s="16">
        <f>IF(S97="","",1+COUNTIFS($R$2:$R$201,"Ready",$N$2:$N$201,N97,$S$2:$S$201,"&gt;"&amp;S97)+COUNTIFS($R$2:$R$201,"Ready",$N$2:$N$201,N97,$S$2:$S$201,"="&amp;S97,$B$2:$B$201,"&lt;"&amp;B97)+COUNTIFS($R$2:$R$201,"Ready",$N$2:$N$201,N97,$S$2:$S$201,"="&amp;S97,$B$2:$B$201,"="&amp;B97,$A$2:$A$201,"&lt;"&amp;A97))</f>
        <v/>
      </c>
      <c r="U97" s="17">
        <f>IF(A97="","",IF(R97&lt;&gt;"Ready",R97,IF(AND(K97="Not Contacted",J97&lt;&gt;""),"Clear last contact date or update outcome",IF(AND(K97&lt;&gt;"Not Contacted",J97=""),"Add last contact date",IF(AND(J97&lt;&gt;"",J97&gt;Setup!$I$4),"Last contact is after review date",IF(K97="Declined","Align status with declined outcome",IF(AND(L97&lt;&gt;"",L97&gt;G97),"Follow-up is after latest start",IF(AND(L97&lt;&gt;"",L97&lt;Setup!$I$4),"Follow-up overdue",IF(AND(L97&lt;&gt;"",L97&lt;=Setup!$I$4+Setup!$I$9),"Follow-up due soon",IF(AND(J97&lt;&gt;"",Setup!$I$4-J97&gt;Setup!$I$8),"Contact may be stale",""))))))))))</f>
        <v/>
      </c>
    </row>
    <row r="98" ht="22" customHeight="1">
      <c r="A98" s="13" t="n"/>
      <c r="B98" s="14" t="n"/>
      <c r="C98" s="15" t="n"/>
      <c r="D98" s="14" t="n"/>
      <c r="E98" s="14" t="n"/>
      <c r="F98" s="14" t="n"/>
      <c r="G98" s="14" t="n"/>
      <c r="H98" s="15" t="n"/>
      <c r="I98" s="13" t="n"/>
      <c r="J98" s="14" t="n"/>
      <c r="K98" s="15" t="n"/>
      <c r="L98" s="14" t="n"/>
      <c r="M98" s="16">
        <f>IF(OR(D98="",E98=""),"",12*(YEAR(E98)-YEAR(D98))+MONTH(E98)-MONTH(D98)-IF(DAY(E98)&lt;DAY(D98),1,0))</f>
        <v/>
      </c>
      <c r="N98" s="17">
        <f>IF(M98="","",IFERROR(IF(M98&lt;=VLOOKUP(M98,Setup!$A$4:$C$7,3,TRUE),VLOOKUP(M98,Setup!$A$4:$C$7,2,TRUE),"Outside configured ranges"),"Outside configured ranges"))</f>
        <v/>
      </c>
      <c r="O98" s="16">
        <f>IF(OR(B98="",B98&gt;Setup!$I$4),"",Setup!$I$4-B98)</f>
        <v/>
      </c>
      <c r="P98" s="16">
        <f>IF(G98="","",G98-Setup!$I$4)</f>
        <v/>
      </c>
      <c r="Q98" s="27">
        <f>IF(K98="","",IFERROR(VLOOKUP(K98,Setup!$E$4:$F$9,2,FALSE),""))</f>
        <v/>
      </c>
      <c r="R98" s="17">
        <f>IF(A98="","",IF(OR(B98="",C98="",D98="",E98="",F98="",G98="",H98="",I98="",K98=""),"Incomplete",IF(COUNTIF(Setup!$K$4:$K$8,I98)=0,"Invalid status",IF(COUNTIF(Setup!$L$4:$L$8,H98)=0,"Invalid schedule",IF(COUNTIF(Setup!$E$4:$E$9,K98)=0,"Invalid contact outcome",IF(I98&lt;&gt;"Active","Not active",IF(B98&gt;Setup!$I$4,"Future waitlist date",IF(D98&gt;E98,"Invalid age/date",IF(F98&gt;G98,"Invalid window",IF(OR(E98&lt;F98,E98&gt;G98),"Preferred date outside window",IF(G98&lt;Setup!$I$4,"Window expired",IF(OR(M98="",N98="Outside configured ranges"),"Outside age bands","Ready"))))))))))))</f>
        <v/>
      </c>
      <c r="S98" s="27">
        <f>IF(R98&lt;&gt;"Ready","",ROUND(O98*Setup!$I$5+MAX(0,Setup!$I$6-MAX(0,P98))*Setup!$I$7+Q98,1))</f>
        <v/>
      </c>
      <c r="T98" s="16">
        <f>IF(S98="","",1+COUNTIFS($R$2:$R$201,"Ready",$N$2:$N$201,N98,$S$2:$S$201,"&gt;"&amp;S98)+COUNTIFS($R$2:$R$201,"Ready",$N$2:$N$201,N98,$S$2:$S$201,"="&amp;S98,$B$2:$B$201,"&lt;"&amp;B98)+COUNTIFS($R$2:$R$201,"Ready",$N$2:$N$201,N98,$S$2:$S$201,"="&amp;S98,$B$2:$B$201,"="&amp;B98,$A$2:$A$201,"&lt;"&amp;A98))</f>
        <v/>
      </c>
      <c r="U98" s="17">
        <f>IF(A98="","",IF(R98&lt;&gt;"Ready",R98,IF(AND(K98="Not Contacted",J98&lt;&gt;""),"Clear last contact date or update outcome",IF(AND(K98&lt;&gt;"Not Contacted",J98=""),"Add last contact date",IF(AND(J98&lt;&gt;"",J98&gt;Setup!$I$4),"Last contact is after review date",IF(K98="Declined","Align status with declined outcome",IF(AND(L98&lt;&gt;"",L98&gt;G98),"Follow-up is after latest start",IF(AND(L98&lt;&gt;"",L98&lt;Setup!$I$4),"Follow-up overdue",IF(AND(L98&lt;&gt;"",L98&lt;=Setup!$I$4+Setup!$I$9),"Follow-up due soon",IF(AND(J98&lt;&gt;"",Setup!$I$4-J98&gt;Setup!$I$8),"Contact may be stale",""))))))))))</f>
        <v/>
      </c>
    </row>
    <row r="99" ht="22" customHeight="1">
      <c r="A99" s="13" t="n"/>
      <c r="B99" s="14" t="n"/>
      <c r="C99" s="15" t="n"/>
      <c r="D99" s="14" t="n"/>
      <c r="E99" s="14" t="n"/>
      <c r="F99" s="14" t="n"/>
      <c r="G99" s="14" t="n"/>
      <c r="H99" s="15" t="n"/>
      <c r="I99" s="13" t="n"/>
      <c r="J99" s="14" t="n"/>
      <c r="K99" s="15" t="n"/>
      <c r="L99" s="14" t="n"/>
      <c r="M99" s="16">
        <f>IF(OR(D99="",E99=""),"",12*(YEAR(E99)-YEAR(D99))+MONTH(E99)-MONTH(D99)-IF(DAY(E99)&lt;DAY(D99),1,0))</f>
        <v/>
      </c>
      <c r="N99" s="17">
        <f>IF(M99="","",IFERROR(IF(M99&lt;=VLOOKUP(M99,Setup!$A$4:$C$7,3,TRUE),VLOOKUP(M99,Setup!$A$4:$C$7,2,TRUE),"Outside configured ranges"),"Outside configured ranges"))</f>
        <v/>
      </c>
      <c r="O99" s="16">
        <f>IF(OR(B99="",B99&gt;Setup!$I$4),"",Setup!$I$4-B99)</f>
        <v/>
      </c>
      <c r="P99" s="16">
        <f>IF(G99="","",G99-Setup!$I$4)</f>
        <v/>
      </c>
      <c r="Q99" s="27">
        <f>IF(K99="","",IFERROR(VLOOKUP(K99,Setup!$E$4:$F$9,2,FALSE),""))</f>
        <v/>
      </c>
      <c r="R99" s="17">
        <f>IF(A99="","",IF(OR(B99="",C99="",D99="",E99="",F99="",G99="",H99="",I99="",K99=""),"Incomplete",IF(COUNTIF(Setup!$K$4:$K$8,I99)=0,"Invalid status",IF(COUNTIF(Setup!$L$4:$L$8,H99)=0,"Invalid schedule",IF(COUNTIF(Setup!$E$4:$E$9,K99)=0,"Invalid contact outcome",IF(I99&lt;&gt;"Active","Not active",IF(B99&gt;Setup!$I$4,"Future waitlist date",IF(D99&gt;E99,"Invalid age/date",IF(F99&gt;G99,"Invalid window",IF(OR(E99&lt;F99,E99&gt;G99),"Preferred date outside window",IF(G99&lt;Setup!$I$4,"Window expired",IF(OR(M99="",N99="Outside configured ranges"),"Outside age bands","Ready"))))))))))))</f>
        <v/>
      </c>
      <c r="S99" s="27">
        <f>IF(R99&lt;&gt;"Ready","",ROUND(O99*Setup!$I$5+MAX(0,Setup!$I$6-MAX(0,P99))*Setup!$I$7+Q99,1))</f>
        <v/>
      </c>
      <c r="T99" s="16">
        <f>IF(S99="","",1+COUNTIFS($R$2:$R$201,"Ready",$N$2:$N$201,N99,$S$2:$S$201,"&gt;"&amp;S99)+COUNTIFS($R$2:$R$201,"Ready",$N$2:$N$201,N99,$S$2:$S$201,"="&amp;S99,$B$2:$B$201,"&lt;"&amp;B99)+COUNTIFS($R$2:$R$201,"Ready",$N$2:$N$201,N99,$S$2:$S$201,"="&amp;S99,$B$2:$B$201,"="&amp;B99,$A$2:$A$201,"&lt;"&amp;A99))</f>
        <v/>
      </c>
      <c r="U99" s="17">
        <f>IF(A99="","",IF(R99&lt;&gt;"Ready",R99,IF(AND(K99="Not Contacted",J99&lt;&gt;""),"Clear last contact date or update outcome",IF(AND(K99&lt;&gt;"Not Contacted",J99=""),"Add last contact date",IF(AND(J99&lt;&gt;"",J99&gt;Setup!$I$4),"Last contact is after review date",IF(K99="Declined","Align status with declined outcome",IF(AND(L99&lt;&gt;"",L99&gt;G99),"Follow-up is after latest start",IF(AND(L99&lt;&gt;"",L99&lt;Setup!$I$4),"Follow-up overdue",IF(AND(L99&lt;&gt;"",L99&lt;=Setup!$I$4+Setup!$I$9),"Follow-up due soon",IF(AND(J99&lt;&gt;"",Setup!$I$4-J99&gt;Setup!$I$8),"Contact may be stale",""))))))))))</f>
        <v/>
      </c>
    </row>
    <row r="100" ht="22" customHeight="1">
      <c r="A100" s="13" t="n"/>
      <c r="B100" s="14" t="n"/>
      <c r="C100" s="15" t="n"/>
      <c r="D100" s="14" t="n"/>
      <c r="E100" s="14" t="n"/>
      <c r="F100" s="14" t="n"/>
      <c r="G100" s="14" t="n"/>
      <c r="H100" s="15" t="n"/>
      <c r="I100" s="13" t="n"/>
      <c r="J100" s="14" t="n"/>
      <c r="K100" s="15" t="n"/>
      <c r="L100" s="14" t="n"/>
      <c r="M100" s="16">
        <f>IF(OR(D100="",E100=""),"",12*(YEAR(E100)-YEAR(D100))+MONTH(E100)-MONTH(D100)-IF(DAY(E100)&lt;DAY(D100),1,0))</f>
        <v/>
      </c>
      <c r="N100" s="17">
        <f>IF(M100="","",IFERROR(IF(M100&lt;=VLOOKUP(M100,Setup!$A$4:$C$7,3,TRUE),VLOOKUP(M100,Setup!$A$4:$C$7,2,TRUE),"Outside configured ranges"),"Outside configured ranges"))</f>
        <v/>
      </c>
      <c r="O100" s="16">
        <f>IF(OR(B100="",B100&gt;Setup!$I$4),"",Setup!$I$4-B100)</f>
        <v/>
      </c>
      <c r="P100" s="16">
        <f>IF(G100="","",G100-Setup!$I$4)</f>
        <v/>
      </c>
      <c r="Q100" s="27">
        <f>IF(K100="","",IFERROR(VLOOKUP(K100,Setup!$E$4:$F$9,2,FALSE),""))</f>
        <v/>
      </c>
      <c r="R100" s="17">
        <f>IF(A100="","",IF(OR(B100="",C100="",D100="",E100="",F100="",G100="",H100="",I100="",K100=""),"Incomplete",IF(COUNTIF(Setup!$K$4:$K$8,I100)=0,"Invalid status",IF(COUNTIF(Setup!$L$4:$L$8,H100)=0,"Invalid schedule",IF(COUNTIF(Setup!$E$4:$E$9,K100)=0,"Invalid contact outcome",IF(I100&lt;&gt;"Active","Not active",IF(B100&gt;Setup!$I$4,"Future waitlist date",IF(D100&gt;E100,"Invalid age/date",IF(F100&gt;G100,"Invalid window",IF(OR(E100&lt;F100,E100&gt;G100),"Preferred date outside window",IF(G100&lt;Setup!$I$4,"Window expired",IF(OR(M100="",N100="Outside configured ranges"),"Outside age bands","Ready"))))))))))))</f>
        <v/>
      </c>
      <c r="S100" s="27">
        <f>IF(R100&lt;&gt;"Ready","",ROUND(O100*Setup!$I$5+MAX(0,Setup!$I$6-MAX(0,P100))*Setup!$I$7+Q100,1))</f>
        <v/>
      </c>
      <c r="T100" s="16">
        <f>IF(S100="","",1+COUNTIFS($R$2:$R$201,"Ready",$N$2:$N$201,N100,$S$2:$S$201,"&gt;"&amp;S100)+COUNTIFS($R$2:$R$201,"Ready",$N$2:$N$201,N100,$S$2:$S$201,"="&amp;S100,$B$2:$B$201,"&lt;"&amp;B100)+COUNTIFS($R$2:$R$201,"Ready",$N$2:$N$201,N100,$S$2:$S$201,"="&amp;S100,$B$2:$B$201,"="&amp;B100,$A$2:$A$201,"&lt;"&amp;A100))</f>
        <v/>
      </c>
      <c r="U100" s="17">
        <f>IF(A100="","",IF(R100&lt;&gt;"Ready",R100,IF(AND(K100="Not Contacted",J100&lt;&gt;""),"Clear last contact date or update outcome",IF(AND(K100&lt;&gt;"Not Contacted",J100=""),"Add last contact date",IF(AND(J100&lt;&gt;"",J100&gt;Setup!$I$4),"Last contact is after review date",IF(K100="Declined","Align status with declined outcome",IF(AND(L100&lt;&gt;"",L100&gt;G100),"Follow-up is after latest start",IF(AND(L100&lt;&gt;"",L100&lt;Setup!$I$4),"Follow-up overdue",IF(AND(L100&lt;&gt;"",L100&lt;=Setup!$I$4+Setup!$I$9),"Follow-up due soon",IF(AND(J100&lt;&gt;"",Setup!$I$4-J100&gt;Setup!$I$8),"Contact may be stale",""))))))))))</f>
        <v/>
      </c>
    </row>
    <row r="101" ht="22" customHeight="1">
      <c r="A101" s="13" t="n"/>
      <c r="B101" s="14" t="n"/>
      <c r="C101" s="15" t="n"/>
      <c r="D101" s="14" t="n"/>
      <c r="E101" s="14" t="n"/>
      <c r="F101" s="14" t="n"/>
      <c r="G101" s="14" t="n"/>
      <c r="H101" s="15" t="n"/>
      <c r="I101" s="13" t="n"/>
      <c r="J101" s="14" t="n"/>
      <c r="K101" s="15" t="n"/>
      <c r="L101" s="14" t="n"/>
      <c r="M101" s="16">
        <f>IF(OR(D101="",E101=""),"",12*(YEAR(E101)-YEAR(D101))+MONTH(E101)-MONTH(D101)-IF(DAY(E101)&lt;DAY(D101),1,0))</f>
        <v/>
      </c>
      <c r="N101" s="17">
        <f>IF(M101="","",IFERROR(IF(M101&lt;=VLOOKUP(M101,Setup!$A$4:$C$7,3,TRUE),VLOOKUP(M101,Setup!$A$4:$C$7,2,TRUE),"Outside configured ranges"),"Outside configured ranges"))</f>
        <v/>
      </c>
      <c r="O101" s="16">
        <f>IF(OR(B101="",B101&gt;Setup!$I$4),"",Setup!$I$4-B101)</f>
        <v/>
      </c>
      <c r="P101" s="16">
        <f>IF(G101="","",G101-Setup!$I$4)</f>
        <v/>
      </c>
      <c r="Q101" s="27">
        <f>IF(K101="","",IFERROR(VLOOKUP(K101,Setup!$E$4:$F$9,2,FALSE),""))</f>
        <v/>
      </c>
      <c r="R101" s="17">
        <f>IF(A101="","",IF(OR(B101="",C101="",D101="",E101="",F101="",G101="",H101="",I101="",K101=""),"Incomplete",IF(COUNTIF(Setup!$K$4:$K$8,I101)=0,"Invalid status",IF(COUNTIF(Setup!$L$4:$L$8,H101)=0,"Invalid schedule",IF(COUNTIF(Setup!$E$4:$E$9,K101)=0,"Invalid contact outcome",IF(I101&lt;&gt;"Active","Not active",IF(B101&gt;Setup!$I$4,"Future waitlist date",IF(D101&gt;E101,"Invalid age/date",IF(F101&gt;G101,"Invalid window",IF(OR(E101&lt;F101,E101&gt;G101),"Preferred date outside window",IF(G101&lt;Setup!$I$4,"Window expired",IF(OR(M101="",N101="Outside configured ranges"),"Outside age bands","Ready"))))))))))))</f>
        <v/>
      </c>
      <c r="S101" s="27">
        <f>IF(R101&lt;&gt;"Ready","",ROUND(O101*Setup!$I$5+MAX(0,Setup!$I$6-MAX(0,P101))*Setup!$I$7+Q101,1))</f>
        <v/>
      </c>
      <c r="T101" s="16">
        <f>IF(S101="","",1+COUNTIFS($R$2:$R$201,"Ready",$N$2:$N$201,N101,$S$2:$S$201,"&gt;"&amp;S101)+COUNTIFS($R$2:$R$201,"Ready",$N$2:$N$201,N101,$S$2:$S$201,"="&amp;S101,$B$2:$B$201,"&lt;"&amp;B101)+COUNTIFS($R$2:$R$201,"Ready",$N$2:$N$201,N101,$S$2:$S$201,"="&amp;S101,$B$2:$B$201,"="&amp;B101,$A$2:$A$201,"&lt;"&amp;A101))</f>
        <v/>
      </c>
      <c r="U101" s="17">
        <f>IF(A101="","",IF(R101&lt;&gt;"Ready",R101,IF(AND(K101="Not Contacted",J101&lt;&gt;""),"Clear last contact date or update outcome",IF(AND(K101&lt;&gt;"Not Contacted",J101=""),"Add last contact date",IF(AND(J101&lt;&gt;"",J101&gt;Setup!$I$4),"Last contact is after review date",IF(K101="Declined","Align status with declined outcome",IF(AND(L101&lt;&gt;"",L101&gt;G101),"Follow-up is after latest start",IF(AND(L101&lt;&gt;"",L101&lt;Setup!$I$4),"Follow-up overdue",IF(AND(L101&lt;&gt;"",L101&lt;=Setup!$I$4+Setup!$I$9),"Follow-up due soon",IF(AND(J101&lt;&gt;"",Setup!$I$4-J101&gt;Setup!$I$8),"Contact may be stale",""))))))))))</f>
        <v/>
      </c>
    </row>
    <row r="102" ht="22" customHeight="1">
      <c r="A102" s="13" t="n"/>
      <c r="B102" s="14" t="n"/>
      <c r="C102" s="15" t="n"/>
      <c r="D102" s="14" t="n"/>
      <c r="E102" s="14" t="n"/>
      <c r="F102" s="14" t="n"/>
      <c r="G102" s="14" t="n"/>
      <c r="H102" s="15" t="n"/>
      <c r="I102" s="13" t="n"/>
      <c r="J102" s="14" t="n"/>
      <c r="K102" s="15" t="n"/>
      <c r="L102" s="14" t="n"/>
      <c r="M102" s="16">
        <f>IF(OR(D102="",E102=""),"",12*(YEAR(E102)-YEAR(D102))+MONTH(E102)-MONTH(D102)-IF(DAY(E102)&lt;DAY(D102),1,0))</f>
        <v/>
      </c>
      <c r="N102" s="17">
        <f>IF(M102="","",IFERROR(IF(M102&lt;=VLOOKUP(M102,Setup!$A$4:$C$7,3,TRUE),VLOOKUP(M102,Setup!$A$4:$C$7,2,TRUE),"Outside configured ranges"),"Outside configured ranges"))</f>
        <v/>
      </c>
      <c r="O102" s="16">
        <f>IF(OR(B102="",B102&gt;Setup!$I$4),"",Setup!$I$4-B102)</f>
        <v/>
      </c>
      <c r="P102" s="16">
        <f>IF(G102="","",G102-Setup!$I$4)</f>
        <v/>
      </c>
      <c r="Q102" s="27">
        <f>IF(K102="","",IFERROR(VLOOKUP(K102,Setup!$E$4:$F$9,2,FALSE),""))</f>
        <v/>
      </c>
      <c r="R102" s="17">
        <f>IF(A102="","",IF(OR(B102="",C102="",D102="",E102="",F102="",G102="",H102="",I102="",K102=""),"Incomplete",IF(COUNTIF(Setup!$K$4:$K$8,I102)=0,"Invalid status",IF(COUNTIF(Setup!$L$4:$L$8,H102)=0,"Invalid schedule",IF(COUNTIF(Setup!$E$4:$E$9,K102)=0,"Invalid contact outcome",IF(I102&lt;&gt;"Active","Not active",IF(B102&gt;Setup!$I$4,"Future waitlist date",IF(D102&gt;E102,"Invalid age/date",IF(F102&gt;G102,"Invalid window",IF(OR(E102&lt;F102,E102&gt;G102),"Preferred date outside window",IF(G102&lt;Setup!$I$4,"Window expired",IF(OR(M102="",N102="Outside configured ranges"),"Outside age bands","Ready"))))))))))))</f>
        <v/>
      </c>
      <c r="S102" s="27">
        <f>IF(R102&lt;&gt;"Ready","",ROUND(O102*Setup!$I$5+MAX(0,Setup!$I$6-MAX(0,P102))*Setup!$I$7+Q102,1))</f>
        <v/>
      </c>
      <c r="T102" s="16">
        <f>IF(S102="","",1+COUNTIFS($R$2:$R$201,"Ready",$N$2:$N$201,N102,$S$2:$S$201,"&gt;"&amp;S102)+COUNTIFS($R$2:$R$201,"Ready",$N$2:$N$201,N102,$S$2:$S$201,"="&amp;S102,$B$2:$B$201,"&lt;"&amp;B102)+COUNTIFS($R$2:$R$201,"Ready",$N$2:$N$201,N102,$S$2:$S$201,"="&amp;S102,$B$2:$B$201,"="&amp;B102,$A$2:$A$201,"&lt;"&amp;A102))</f>
        <v/>
      </c>
      <c r="U102" s="17">
        <f>IF(A102="","",IF(R102&lt;&gt;"Ready",R102,IF(AND(K102="Not Contacted",J102&lt;&gt;""),"Clear last contact date or update outcome",IF(AND(K102&lt;&gt;"Not Contacted",J102=""),"Add last contact date",IF(AND(J102&lt;&gt;"",J102&gt;Setup!$I$4),"Last contact is after review date",IF(K102="Declined","Align status with declined outcome",IF(AND(L102&lt;&gt;"",L102&gt;G102),"Follow-up is after latest start",IF(AND(L102&lt;&gt;"",L102&lt;Setup!$I$4),"Follow-up overdue",IF(AND(L102&lt;&gt;"",L102&lt;=Setup!$I$4+Setup!$I$9),"Follow-up due soon",IF(AND(J102&lt;&gt;"",Setup!$I$4-J102&gt;Setup!$I$8),"Contact may be stale",""))))))))))</f>
        <v/>
      </c>
    </row>
    <row r="103" ht="22" customHeight="1">
      <c r="A103" s="13" t="n"/>
      <c r="B103" s="14" t="n"/>
      <c r="C103" s="15" t="n"/>
      <c r="D103" s="14" t="n"/>
      <c r="E103" s="14" t="n"/>
      <c r="F103" s="14" t="n"/>
      <c r="G103" s="14" t="n"/>
      <c r="H103" s="15" t="n"/>
      <c r="I103" s="13" t="n"/>
      <c r="J103" s="14" t="n"/>
      <c r="K103" s="15" t="n"/>
      <c r="L103" s="14" t="n"/>
      <c r="M103" s="16">
        <f>IF(OR(D103="",E103=""),"",12*(YEAR(E103)-YEAR(D103))+MONTH(E103)-MONTH(D103)-IF(DAY(E103)&lt;DAY(D103),1,0))</f>
        <v/>
      </c>
      <c r="N103" s="17">
        <f>IF(M103="","",IFERROR(IF(M103&lt;=VLOOKUP(M103,Setup!$A$4:$C$7,3,TRUE),VLOOKUP(M103,Setup!$A$4:$C$7,2,TRUE),"Outside configured ranges"),"Outside configured ranges"))</f>
        <v/>
      </c>
      <c r="O103" s="16">
        <f>IF(OR(B103="",B103&gt;Setup!$I$4),"",Setup!$I$4-B103)</f>
        <v/>
      </c>
      <c r="P103" s="16">
        <f>IF(G103="","",G103-Setup!$I$4)</f>
        <v/>
      </c>
      <c r="Q103" s="27">
        <f>IF(K103="","",IFERROR(VLOOKUP(K103,Setup!$E$4:$F$9,2,FALSE),""))</f>
        <v/>
      </c>
      <c r="R103" s="17">
        <f>IF(A103="","",IF(OR(B103="",C103="",D103="",E103="",F103="",G103="",H103="",I103="",K103=""),"Incomplete",IF(COUNTIF(Setup!$K$4:$K$8,I103)=0,"Invalid status",IF(COUNTIF(Setup!$L$4:$L$8,H103)=0,"Invalid schedule",IF(COUNTIF(Setup!$E$4:$E$9,K103)=0,"Invalid contact outcome",IF(I103&lt;&gt;"Active","Not active",IF(B103&gt;Setup!$I$4,"Future waitlist date",IF(D103&gt;E103,"Invalid age/date",IF(F103&gt;G103,"Invalid window",IF(OR(E103&lt;F103,E103&gt;G103),"Preferred date outside window",IF(G103&lt;Setup!$I$4,"Window expired",IF(OR(M103="",N103="Outside configured ranges"),"Outside age bands","Ready"))))))))))))</f>
        <v/>
      </c>
      <c r="S103" s="27">
        <f>IF(R103&lt;&gt;"Ready","",ROUND(O103*Setup!$I$5+MAX(0,Setup!$I$6-MAX(0,P103))*Setup!$I$7+Q103,1))</f>
        <v/>
      </c>
      <c r="T103" s="16">
        <f>IF(S103="","",1+COUNTIFS($R$2:$R$201,"Ready",$N$2:$N$201,N103,$S$2:$S$201,"&gt;"&amp;S103)+COUNTIFS($R$2:$R$201,"Ready",$N$2:$N$201,N103,$S$2:$S$201,"="&amp;S103,$B$2:$B$201,"&lt;"&amp;B103)+COUNTIFS($R$2:$R$201,"Ready",$N$2:$N$201,N103,$S$2:$S$201,"="&amp;S103,$B$2:$B$201,"="&amp;B103,$A$2:$A$201,"&lt;"&amp;A103))</f>
        <v/>
      </c>
      <c r="U103" s="17">
        <f>IF(A103="","",IF(R103&lt;&gt;"Ready",R103,IF(AND(K103="Not Contacted",J103&lt;&gt;""),"Clear last contact date or update outcome",IF(AND(K103&lt;&gt;"Not Contacted",J103=""),"Add last contact date",IF(AND(J103&lt;&gt;"",J103&gt;Setup!$I$4),"Last contact is after review date",IF(K103="Declined","Align status with declined outcome",IF(AND(L103&lt;&gt;"",L103&gt;G103),"Follow-up is after latest start",IF(AND(L103&lt;&gt;"",L103&lt;Setup!$I$4),"Follow-up overdue",IF(AND(L103&lt;&gt;"",L103&lt;=Setup!$I$4+Setup!$I$9),"Follow-up due soon",IF(AND(J103&lt;&gt;"",Setup!$I$4-J103&gt;Setup!$I$8),"Contact may be stale",""))))))))))</f>
        <v/>
      </c>
    </row>
    <row r="104" ht="22" customHeight="1">
      <c r="A104" s="13" t="n"/>
      <c r="B104" s="14" t="n"/>
      <c r="C104" s="15" t="n"/>
      <c r="D104" s="14" t="n"/>
      <c r="E104" s="14" t="n"/>
      <c r="F104" s="14" t="n"/>
      <c r="G104" s="14" t="n"/>
      <c r="H104" s="15" t="n"/>
      <c r="I104" s="13" t="n"/>
      <c r="J104" s="14" t="n"/>
      <c r="K104" s="15" t="n"/>
      <c r="L104" s="14" t="n"/>
      <c r="M104" s="16">
        <f>IF(OR(D104="",E104=""),"",12*(YEAR(E104)-YEAR(D104))+MONTH(E104)-MONTH(D104)-IF(DAY(E104)&lt;DAY(D104),1,0))</f>
        <v/>
      </c>
      <c r="N104" s="17">
        <f>IF(M104="","",IFERROR(IF(M104&lt;=VLOOKUP(M104,Setup!$A$4:$C$7,3,TRUE),VLOOKUP(M104,Setup!$A$4:$C$7,2,TRUE),"Outside configured ranges"),"Outside configured ranges"))</f>
        <v/>
      </c>
      <c r="O104" s="16">
        <f>IF(OR(B104="",B104&gt;Setup!$I$4),"",Setup!$I$4-B104)</f>
        <v/>
      </c>
      <c r="P104" s="16">
        <f>IF(G104="","",G104-Setup!$I$4)</f>
        <v/>
      </c>
      <c r="Q104" s="27">
        <f>IF(K104="","",IFERROR(VLOOKUP(K104,Setup!$E$4:$F$9,2,FALSE),""))</f>
        <v/>
      </c>
      <c r="R104" s="17">
        <f>IF(A104="","",IF(OR(B104="",C104="",D104="",E104="",F104="",G104="",H104="",I104="",K104=""),"Incomplete",IF(COUNTIF(Setup!$K$4:$K$8,I104)=0,"Invalid status",IF(COUNTIF(Setup!$L$4:$L$8,H104)=0,"Invalid schedule",IF(COUNTIF(Setup!$E$4:$E$9,K104)=0,"Invalid contact outcome",IF(I104&lt;&gt;"Active","Not active",IF(B104&gt;Setup!$I$4,"Future waitlist date",IF(D104&gt;E104,"Invalid age/date",IF(F104&gt;G104,"Invalid window",IF(OR(E104&lt;F104,E104&gt;G104),"Preferred date outside window",IF(G104&lt;Setup!$I$4,"Window expired",IF(OR(M104="",N104="Outside configured ranges"),"Outside age bands","Ready"))))))))))))</f>
        <v/>
      </c>
      <c r="S104" s="27">
        <f>IF(R104&lt;&gt;"Ready","",ROUND(O104*Setup!$I$5+MAX(0,Setup!$I$6-MAX(0,P104))*Setup!$I$7+Q104,1))</f>
        <v/>
      </c>
      <c r="T104" s="16">
        <f>IF(S104="","",1+COUNTIFS($R$2:$R$201,"Ready",$N$2:$N$201,N104,$S$2:$S$201,"&gt;"&amp;S104)+COUNTIFS($R$2:$R$201,"Ready",$N$2:$N$201,N104,$S$2:$S$201,"="&amp;S104,$B$2:$B$201,"&lt;"&amp;B104)+COUNTIFS($R$2:$R$201,"Ready",$N$2:$N$201,N104,$S$2:$S$201,"="&amp;S104,$B$2:$B$201,"="&amp;B104,$A$2:$A$201,"&lt;"&amp;A104))</f>
        <v/>
      </c>
      <c r="U104" s="17">
        <f>IF(A104="","",IF(R104&lt;&gt;"Ready",R104,IF(AND(K104="Not Contacted",J104&lt;&gt;""),"Clear last contact date or update outcome",IF(AND(K104&lt;&gt;"Not Contacted",J104=""),"Add last contact date",IF(AND(J104&lt;&gt;"",J104&gt;Setup!$I$4),"Last contact is after review date",IF(K104="Declined","Align status with declined outcome",IF(AND(L104&lt;&gt;"",L104&gt;G104),"Follow-up is after latest start",IF(AND(L104&lt;&gt;"",L104&lt;Setup!$I$4),"Follow-up overdue",IF(AND(L104&lt;&gt;"",L104&lt;=Setup!$I$4+Setup!$I$9),"Follow-up due soon",IF(AND(J104&lt;&gt;"",Setup!$I$4-J104&gt;Setup!$I$8),"Contact may be stale",""))))))))))</f>
        <v/>
      </c>
    </row>
    <row r="105" ht="22" customHeight="1">
      <c r="A105" s="13" t="n"/>
      <c r="B105" s="14" t="n"/>
      <c r="C105" s="15" t="n"/>
      <c r="D105" s="14" t="n"/>
      <c r="E105" s="14" t="n"/>
      <c r="F105" s="14" t="n"/>
      <c r="G105" s="14" t="n"/>
      <c r="H105" s="15" t="n"/>
      <c r="I105" s="13" t="n"/>
      <c r="J105" s="14" t="n"/>
      <c r="K105" s="15" t="n"/>
      <c r="L105" s="14" t="n"/>
      <c r="M105" s="16">
        <f>IF(OR(D105="",E105=""),"",12*(YEAR(E105)-YEAR(D105))+MONTH(E105)-MONTH(D105)-IF(DAY(E105)&lt;DAY(D105),1,0))</f>
        <v/>
      </c>
      <c r="N105" s="17">
        <f>IF(M105="","",IFERROR(IF(M105&lt;=VLOOKUP(M105,Setup!$A$4:$C$7,3,TRUE),VLOOKUP(M105,Setup!$A$4:$C$7,2,TRUE),"Outside configured ranges"),"Outside configured ranges"))</f>
        <v/>
      </c>
      <c r="O105" s="16">
        <f>IF(OR(B105="",B105&gt;Setup!$I$4),"",Setup!$I$4-B105)</f>
        <v/>
      </c>
      <c r="P105" s="16">
        <f>IF(G105="","",G105-Setup!$I$4)</f>
        <v/>
      </c>
      <c r="Q105" s="27">
        <f>IF(K105="","",IFERROR(VLOOKUP(K105,Setup!$E$4:$F$9,2,FALSE),""))</f>
        <v/>
      </c>
      <c r="R105" s="17">
        <f>IF(A105="","",IF(OR(B105="",C105="",D105="",E105="",F105="",G105="",H105="",I105="",K105=""),"Incomplete",IF(COUNTIF(Setup!$K$4:$K$8,I105)=0,"Invalid status",IF(COUNTIF(Setup!$L$4:$L$8,H105)=0,"Invalid schedule",IF(COUNTIF(Setup!$E$4:$E$9,K105)=0,"Invalid contact outcome",IF(I105&lt;&gt;"Active","Not active",IF(B105&gt;Setup!$I$4,"Future waitlist date",IF(D105&gt;E105,"Invalid age/date",IF(F105&gt;G105,"Invalid window",IF(OR(E105&lt;F105,E105&gt;G105),"Preferred date outside window",IF(G105&lt;Setup!$I$4,"Window expired",IF(OR(M105="",N105="Outside configured ranges"),"Outside age bands","Ready"))))))))))))</f>
        <v/>
      </c>
      <c r="S105" s="27">
        <f>IF(R105&lt;&gt;"Ready","",ROUND(O105*Setup!$I$5+MAX(0,Setup!$I$6-MAX(0,P105))*Setup!$I$7+Q105,1))</f>
        <v/>
      </c>
      <c r="T105" s="16">
        <f>IF(S105="","",1+COUNTIFS($R$2:$R$201,"Ready",$N$2:$N$201,N105,$S$2:$S$201,"&gt;"&amp;S105)+COUNTIFS($R$2:$R$201,"Ready",$N$2:$N$201,N105,$S$2:$S$201,"="&amp;S105,$B$2:$B$201,"&lt;"&amp;B105)+COUNTIFS($R$2:$R$201,"Ready",$N$2:$N$201,N105,$S$2:$S$201,"="&amp;S105,$B$2:$B$201,"="&amp;B105,$A$2:$A$201,"&lt;"&amp;A105))</f>
        <v/>
      </c>
      <c r="U105" s="17">
        <f>IF(A105="","",IF(R105&lt;&gt;"Ready",R105,IF(AND(K105="Not Contacted",J105&lt;&gt;""),"Clear last contact date or update outcome",IF(AND(K105&lt;&gt;"Not Contacted",J105=""),"Add last contact date",IF(AND(J105&lt;&gt;"",J105&gt;Setup!$I$4),"Last contact is after review date",IF(K105="Declined","Align status with declined outcome",IF(AND(L105&lt;&gt;"",L105&gt;G105),"Follow-up is after latest start",IF(AND(L105&lt;&gt;"",L105&lt;Setup!$I$4),"Follow-up overdue",IF(AND(L105&lt;&gt;"",L105&lt;=Setup!$I$4+Setup!$I$9),"Follow-up due soon",IF(AND(J105&lt;&gt;"",Setup!$I$4-J105&gt;Setup!$I$8),"Contact may be stale",""))))))))))</f>
        <v/>
      </c>
    </row>
    <row r="106" ht="22" customHeight="1">
      <c r="A106" s="13" t="n"/>
      <c r="B106" s="14" t="n"/>
      <c r="C106" s="15" t="n"/>
      <c r="D106" s="14" t="n"/>
      <c r="E106" s="14" t="n"/>
      <c r="F106" s="14" t="n"/>
      <c r="G106" s="14" t="n"/>
      <c r="H106" s="15" t="n"/>
      <c r="I106" s="13" t="n"/>
      <c r="J106" s="14" t="n"/>
      <c r="K106" s="15" t="n"/>
      <c r="L106" s="14" t="n"/>
      <c r="M106" s="16">
        <f>IF(OR(D106="",E106=""),"",12*(YEAR(E106)-YEAR(D106))+MONTH(E106)-MONTH(D106)-IF(DAY(E106)&lt;DAY(D106),1,0))</f>
        <v/>
      </c>
      <c r="N106" s="17">
        <f>IF(M106="","",IFERROR(IF(M106&lt;=VLOOKUP(M106,Setup!$A$4:$C$7,3,TRUE),VLOOKUP(M106,Setup!$A$4:$C$7,2,TRUE),"Outside configured ranges"),"Outside configured ranges"))</f>
        <v/>
      </c>
      <c r="O106" s="16">
        <f>IF(OR(B106="",B106&gt;Setup!$I$4),"",Setup!$I$4-B106)</f>
        <v/>
      </c>
      <c r="P106" s="16">
        <f>IF(G106="","",G106-Setup!$I$4)</f>
        <v/>
      </c>
      <c r="Q106" s="27">
        <f>IF(K106="","",IFERROR(VLOOKUP(K106,Setup!$E$4:$F$9,2,FALSE),""))</f>
        <v/>
      </c>
      <c r="R106" s="17">
        <f>IF(A106="","",IF(OR(B106="",C106="",D106="",E106="",F106="",G106="",H106="",I106="",K106=""),"Incomplete",IF(COUNTIF(Setup!$K$4:$K$8,I106)=0,"Invalid status",IF(COUNTIF(Setup!$L$4:$L$8,H106)=0,"Invalid schedule",IF(COUNTIF(Setup!$E$4:$E$9,K106)=0,"Invalid contact outcome",IF(I106&lt;&gt;"Active","Not active",IF(B106&gt;Setup!$I$4,"Future waitlist date",IF(D106&gt;E106,"Invalid age/date",IF(F106&gt;G106,"Invalid window",IF(OR(E106&lt;F106,E106&gt;G106),"Preferred date outside window",IF(G106&lt;Setup!$I$4,"Window expired",IF(OR(M106="",N106="Outside configured ranges"),"Outside age bands","Ready"))))))))))))</f>
        <v/>
      </c>
      <c r="S106" s="27">
        <f>IF(R106&lt;&gt;"Ready","",ROUND(O106*Setup!$I$5+MAX(0,Setup!$I$6-MAX(0,P106))*Setup!$I$7+Q106,1))</f>
        <v/>
      </c>
      <c r="T106" s="16">
        <f>IF(S106="","",1+COUNTIFS($R$2:$R$201,"Ready",$N$2:$N$201,N106,$S$2:$S$201,"&gt;"&amp;S106)+COUNTIFS($R$2:$R$201,"Ready",$N$2:$N$201,N106,$S$2:$S$201,"="&amp;S106,$B$2:$B$201,"&lt;"&amp;B106)+COUNTIFS($R$2:$R$201,"Ready",$N$2:$N$201,N106,$S$2:$S$201,"="&amp;S106,$B$2:$B$201,"="&amp;B106,$A$2:$A$201,"&lt;"&amp;A106))</f>
        <v/>
      </c>
      <c r="U106" s="17">
        <f>IF(A106="","",IF(R106&lt;&gt;"Ready",R106,IF(AND(K106="Not Contacted",J106&lt;&gt;""),"Clear last contact date or update outcome",IF(AND(K106&lt;&gt;"Not Contacted",J106=""),"Add last contact date",IF(AND(J106&lt;&gt;"",J106&gt;Setup!$I$4),"Last contact is after review date",IF(K106="Declined","Align status with declined outcome",IF(AND(L106&lt;&gt;"",L106&gt;G106),"Follow-up is after latest start",IF(AND(L106&lt;&gt;"",L106&lt;Setup!$I$4),"Follow-up overdue",IF(AND(L106&lt;&gt;"",L106&lt;=Setup!$I$4+Setup!$I$9),"Follow-up due soon",IF(AND(J106&lt;&gt;"",Setup!$I$4-J106&gt;Setup!$I$8),"Contact may be stale",""))))))))))</f>
        <v/>
      </c>
    </row>
    <row r="107" ht="22" customHeight="1">
      <c r="A107" s="13" t="n"/>
      <c r="B107" s="14" t="n"/>
      <c r="C107" s="15" t="n"/>
      <c r="D107" s="14" t="n"/>
      <c r="E107" s="14" t="n"/>
      <c r="F107" s="14" t="n"/>
      <c r="G107" s="14" t="n"/>
      <c r="H107" s="15" t="n"/>
      <c r="I107" s="13" t="n"/>
      <c r="J107" s="14" t="n"/>
      <c r="K107" s="15" t="n"/>
      <c r="L107" s="14" t="n"/>
      <c r="M107" s="16">
        <f>IF(OR(D107="",E107=""),"",12*(YEAR(E107)-YEAR(D107))+MONTH(E107)-MONTH(D107)-IF(DAY(E107)&lt;DAY(D107),1,0))</f>
        <v/>
      </c>
      <c r="N107" s="17">
        <f>IF(M107="","",IFERROR(IF(M107&lt;=VLOOKUP(M107,Setup!$A$4:$C$7,3,TRUE),VLOOKUP(M107,Setup!$A$4:$C$7,2,TRUE),"Outside configured ranges"),"Outside configured ranges"))</f>
        <v/>
      </c>
      <c r="O107" s="16">
        <f>IF(OR(B107="",B107&gt;Setup!$I$4),"",Setup!$I$4-B107)</f>
        <v/>
      </c>
      <c r="P107" s="16">
        <f>IF(G107="","",G107-Setup!$I$4)</f>
        <v/>
      </c>
      <c r="Q107" s="27">
        <f>IF(K107="","",IFERROR(VLOOKUP(K107,Setup!$E$4:$F$9,2,FALSE),""))</f>
        <v/>
      </c>
      <c r="R107" s="17">
        <f>IF(A107="","",IF(OR(B107="",C107="",D107="",E107="",F107="",G107="",H107="",I107="",K107=""),"Incomplete",IF(COUNTIF(Setup!$K$4:$K$8,I107)=0,"Invalid status",IF(COUNTIF(Setup!$L$4:$L$8,H107)=0,"Invalid schedule",IF(COUNTIF(Setup!$E$4:$E$9,K107)=0,"Invalid contact outcome",IF(I107&lt;&gt;"Active","Not active",IF(B107&gt;Setup!$I$4,"Future waitlist date",IF(D107&gt;E107,"Invalid age/date",IF(F107&gt;G107,"Invalid window",IF(OR(E107&lt;F107,E107&gt;G107),"Preferred date outside window",IF(G107&lt;Setup!$I$4,"Window expired",IF(OR(M107="",N107="Outside configured ranges"),"Outside age bands","Ready"))))))))))))</f>
        <v/>
      </c>
      <c r="S107" s="27">
        <f>IF(R107&lt;&gt;"Ready","",ROUND(O107*Setup!$I$5+MAX(0,Setup!$I$6-MAX(0,P107))*Setup!$I$7+Q107,1))</f>
        <v/>
      </c>
      <c r="T107" s="16">
        <f>IF(S107="","",1+COUNTIFS($R$2:$R$201,"Ready",$N$2:$N$201,N107,$S$2:$S$201,"&gt;"&amp;S107)+COUNTIFS($R$2:$R$201,"Ready",$N$2:$N$201,N107,$S$2:$S$201,"="&amp;S107,$B$2:$B$201,"&lt;"&amp;B107)+COUNTIFS($R$2:$R$201,"Ready",$N$2:$N$201,N107,$S$2:$S$201,"="&amp;S107,$B$2:$B$201,"="&amp;B107,$A$2:$A$201,"&lt;"&amp;A107))</f>
        <v/>
      </c>
      <c r="U107" s="17">
        <f>IF(A107="","",IF(R107&lt;&gt;"Ready",R107,IF(AND(K107="Not Contacted",J107&lt;&gt;""),"Clear last contact date or update outcome",IF(AND(K107&lt;&gt;"Not Contacted",J107=""),"Add last contact date",IF(AND(J107&lt;&gt;"",J107&gt;Setup!$I$4),"Last contact is after review date",IF(K107="Declined","Align status with declined outcome",IF(AND(L107&lt;&gt;"",L107&gt;G107),"Follow-up is after latest start",IF(AND(L107&lt;&gt;"",L107&lt;Setup!$I$4),"Follow-up overdue",IF(AND(L107&lt;&gt;"",L107&lt;=Setup!$I$4+Setup!$I$9),"Follow-up due soon",IF(AND(J107&lt;&gt;"",Setup!$I$4-J107&gt;Setup!$I$8),"Contact may be stale",""))))))))))</f>
        <v/>
      </c>
    </row>
    <row r="108" ht="22" customHeight="1">
      <c r="A108" s="13" t="n"/>
      <c r="B108" s="14" t="n"/>
      <c r="C108" s="15" t="n"/>
      <c r="D108" s="14" t="n"/>
      <c r="E108" s="14" t="n"/>
      <c r="F108" s="14" t="n"/>
      <c r="G108" s="14" t="n"/>
      <c r="H108" s="15" t="n"/>
      <c r="I108" s="13" t="n"/>
      <c r="J108" s="14" t="n"/>
      <c r="K108" s="15" t="n"/>
      <c r="L108" s="14" t="n"/>
      <c r="M108" s="16">
        <f>IF(OR(D108="",E108=""),"",12*(YEAR(E108)-YEAR(D108))+MONTH(E108)-MONTH(D108)-IF(DAY(E108)&lt;DAY(D108),1,0))</f>
        <v/>
      </c>
      <c r="N108" s="17">
        <f>IF(M108="","",IFERROR(IF(M108&lt;=VLOOKUP(M108,Setup!$A$4:$C$7,3,TRUE),VLOOKUP(M108,Setup!$A$4:$C$7,2,TRUE),"Outside configured ranges"),"Outside configured ranges"))</f>
        <v/>
      </c>
      <c r="O108" s="16">
        <f>IF(OR(B108="",B108&gt;Setup!$I$4),"",Setup!$I$4-B108)</f>
        <v/>
      </c>
      <c r="P108" s="16">
        <f>IF(G108="","",G108-Setup!$I$4)</f>
        <v/>
      </c>
      <c r="Q108" s="27">
        <f>IF(K108="","",IFERROR(VLOOKUP(K108,Setup!$E$4:$F$9,2,FALSE),""))</f>
        <v/>
      </c>
      <c r="R108" s="17">
        <f>IF(A108="","",IF(OR(B108="",C108="",D108="",E108="",F108="",G108="",H108="",I108="",K108=""),"Incomplete",IF(COUNTIF(Setup!$K$4:$K$8,I108)=0,"Invalid status",IF(COUNTIF(Setup!$L$4:$L$8,H108)=0,"Invalid schedule",IF(COUNTIF(Setup!$E$4:$E$9,K108)=0,"Invalid contact outcome",IF(I108&lt;&gt;"Active","Not active",IF(B108&gt;Setup!$I$4,"Future waitlist date",IF(D108&gt;E108,"Invalid age/date",IF(F108&gt;G108,"Invalid window",IF(OR(E108&lt;F108,E108&gt;G108),"Preferred date outside window",IF(G108&lt;Setup!$I$4,"Window expired",IF(OR(M108="",N108="Outside configured ranges"),"Outside age bands","Ready"))))))))))))</f>
        <v/>
      </c>
      <c r="S108" s="27">
        <f>IF(R108&lt;&gt;"Ready","",ROUND(O108*Setup!$I$5+MAX(0,Setup!$I$6-MAX(0,P108))*Setup!$I$7+Q108,1))</f>
        <v/>
      </c>
      <c r="T108" s="16">
        <f>IF(S108="","",1+COUNTIFS($R$2:$R$201,"Ready",$N$2:$N$201,N108,$S$2:$S$201,"&gt;"&amp;S108)+COUNTIFS($R$2:$R$201,"Ready",$N$2:$N$201,N108,$S$2:$S$201,"="&amp;S108,$B$2:$B$201,"&lt;"&amp;B108)+COUNTIFS($R$2:$R$201,"Ready",$N$2:$N$201,N108,$S$2:$S$201,"="&amp;S108,$B$2:$B$201,"="&amp;B108,$A$2:$A$201,"&lt;"&amp;A108))</f>
        <v/>
      </c>
      <c r="U108" s="17">
        <f>IF(A108="","",IF(R108&lt;&gt;"Ready",R108,IF(AND(K108="Not Contacted",J108&lt;&gt;""),"Clear last contact date or update outcome",IF(AND(K108&lt;&gt;"Not Contacted",J108=""),"Add last contact date",IF(AND(J108&lt;&gt;"",J108&gt;Setup!$I$4),"Last contact is after review date",IF(K108="Declined","Align status with declined outcome",IF(AND(L108&lt;&gt;"",L108&gt;G108),"Follow-up is after latest start",IF(AND(L108&lt;&gt;"",L108&lt;Setup!$I$4),"Follow-up overdue",IF(AND(L108&lt;&gt;"",L108&lt;=Setup!$I$4+Setup!$I$9),"Follow-up due soon",IF(AND(J108&lt;&gt;"",Setup!$I$4-J108&gt;Setup!$I$8),"Contact may be stale",""))))))))))</f>
        <v/>
      </c>
    </row>
    <row r="109" ht="22" customHeight="1">
      <c r="A109" s="13" t="n"/>
      <c r="B109" s="14" t="n"/>
      <c r="C109" s="15" t="n"/>
      <c r="D109" s="14" t="n"/>
      <c r="E109" s="14" t="n"/>
      <c r="F109" s="14" t="n"/>
      <c r="G109" s="14" t="n"/>
      <c r="H109" s="15" t="n"/>
      <c r="I109" s="13" t="n"/>
      <c r="J109" s="14" t="n"/>
      <c r="K109" s="15" t="n"/>
      <c r="L109" s="14" t="n"/>
      <c r="M109" s="16">
        <f>IF(OR(D109="",E109=""),"",12*(YEAR(E109)-YEAR(D109))+MONTH(E109)-MONTH(D109)-IF(DAY(E109)&lt;DAY(D109),1,0))</f>
        <v/>
      </c>
      <c r="N109" s="17">
        <f>IF(M109="","",IFERROR(IF(M109&lt;=VLOOKUP(M109,Setup!$A$4:$C$7,3,TRUE),VLOOKUP(M109,Setup!$A$4:$C$7,2,TRUE),"Outside configured ranges"),"Outside configured ranges"))</f>
        <v/>
      </c>
      <c r="O109" s="16">
        <f>IF(OR(B109="",B109&gt;Setup!$I$4),"",Setup!$I$4-B109)</f>
        <v/>
      </c>
      <c r="P109" s="16">
        <f>IF(G109="","",G109-Setup!$I$4)</f>
        <v/>
      </c>
      <c r="Q109" s="27">
        <f>IF(K109="","",IFERROR(VLOOKUP(K109,Setup!$E$4:$F$9,2,FALSE),""))</f>
        <v/>
      </c>
      <c r="R109" s="17">
        <f>IF(A109="","",IF(OR(B109="",C109="",D109="",E109="",F109="",G109="",H109="",I109="",K109=""),"Incomplete",IF(COUNTIF(Setup!$K$4:$K$8,I109)=0,"Invalid status",IF(COUNTIF(Setup!$L$4:$L$8,H109)=0,"Invalid schedule",IF(COUNTIF(Setup!$E$4:$E$9,K109)=0,"Invalid contact outcome",IF(I109&lt;&gt;"Active","Not active",IF(B109&gt;Setup!$I$4,"Future waitlist date",IF(D109&gt;E109,"Invalid age/date",IF(F109&gt;G109,"Invalid window",IF(OR(E109&lt;F109,E109&gt;G109),"Preferred date outside window",IF(G109&lt;Setup!$I$4,"Window expired",IF(OR(M109="",N109="Outside configured ranges"),"Outside age bands","Ready"))))))))))))</f>
        <v/>
      </c>
      <c r="S109" s="27">
        <f>IF(R109&lt;&gt;"Ready","",ROUND(O109*Setup!$I$5+MAX(0,Setup!$I$6-MAX(0,P109))*Setup!$I$7+Q109,1))</f>
        <v/>
      </c>
      <c r="T109" s="16">
        <f>IF(S109="","",1+COUNTIFS($R$2:$R$201,"Ready",$N$2:$N$201,N109,$S$2:$S$201,"&gt;"&amp;S109)+COUNTIFS($R$2:$R$201,"Ready",$N$2:$N$201,N109,$S$2:$S$201,"="&amp;S109,$B$2:$B$201,"&lt;"&amp;B109)+COUNTIFS($R$2:$R$201,"Ready",$N$2:$N$201,N109,$S$2:$S$201,"="&amp;S109,$B$2:$B$201,"="&amp;B109,$A$2:$A$201,"&lt;"&amp;A109))</f>
        <v/>
      </c>
      <c r="U109" s="17">
        <f>IF(A109="","",IF(R109&lt;&gt;"Ready",R109,IF(AND(K109="Not Contacted",J109&lt;&gt;""),"Clear last contact date or update outcome",IF(AND(K109&lt;&gt;"Not Contacted",J109=""),"Add last contact date",IF(AND(J109&lt;&gt;"",J109&gt;Setup!$I$4),"Last contact is after review date",IF(K109="Declined","Align status with declined outcome",IF(AND(L109&lt;&gt;"",L109&gt;G109),"Follow-up is after latest start",IF(AND(L109&lt;&gt;"",L109&lt;Setup!$I$4),"Follow-up overdue",IF(AND(L109&lt;&gt;"",L109&lt;=Setup!$I$4+Setup!$I$9),"Follow-up due soon",IF(AND(J109&lt;&gt;"",Setup!$I$4-J109&gt;Setup!$I$8),"Contact may be stale",""))))))))))</f>
        <v/>
      </c>
    </row>
    <row r="110" ht="22" customHeight="1">
      <c r="A110" s="13" t="n"/>
      <c r="B110" s="14" t="n"/>
      <c r="C110" s="15" t="n"/>
      <c r="D110" s="14" t="n"/>
      <c r="E110" s="14" t="n"/>
      <c r="F110" s="14" t="n"/>
      <c r="G110" s="14" t="n"/>
      <c r="H110" s="15" t="n"/>
      <c r="I110" s="13" t="n"/>
      <c r="J110" s="14" t="n"/>
      <c r="K110" s="15" t="n"/>
      <c r="L110" s="14" t="n"/>
      <c r="M110" s="16">
        <f>IF(OR(D110="",E110=""),"",12*(YEAR(E110)-YEAR(D110))+MONTH(E110)-MONTH(D110)-IF(DAY(E110)&lt;DAY(D110),1,0))</f>
        <v/>
      </c>
      <c r="N110" s="17">
        <f>IF(M110="","",IFERROR(IF(M110&lt;=VLOOKUP(M110,Setup!$A$4:$C$7,3,TRUE),VLOOKUP(M110,Setup!$A$4:$C$7,2,TRUE),"Outside configured ranges"),"Outside configured ranges"))</f>
        <v/>
      </c>
      <c r="O110" s="16">
        <f>IF(OR(B110="",B110&gt;Setup!$I$4),"",Setup!$I$4-B110)</f>
        <v/>
      </c>
      <c r="P110" s="16">
        <f>IF(G110="","",G110-Setup!$I$4)</f>
        <v/>
      </c>
      <c r="Q110" s="27">
        <f>IF(K110="","",IFERROR(VLOOKUP(K110,Setup!$E$4:$F$9,2,FALSE),""))</f>
        <v/>
      </c>
      <c r="R110" s="17">
        <f>IF(A110="","",IF(OR(B110="",C110="",D110="",E110="",F110="",G110="",H110="",I110="",K110=""),"Incomplete",IF(COUNTIF(Setup!$K$4:$K$8,I110)=0,"Invalid status",IF(COUNTIF(Setup!$L$4:$L$8,H110)=0,"Invalid schedule",IF(COUNTIF(Setup!$E$4:$E$9,K110)=0,"Invalid contact outcome",IF(I110&lt;&gt;"Active","Not active",IF(B110&gt;Setup!$I$4,"Future waitlist date",IF(D110&gt;E110,"Invalid age/date",IF(F110&gt;G110,"Invalid window",IF(OR(E110&lt;F110,E110&gt;G110),"Preferred date outside window",IF(G110&lt;Setup!$I$4,"Window expired",IF(OR(M110="",N110="Outside configured ranges"),"Outside age bands","Ready"))))))))))))</f>
        <v/>
      </c>
      <c r="S110" s="27">
        <f>IF(R110&lt;&gt;"Ready","",ROUND(O110*Setup!$I$5+MAX(0,Setup!$I$6-MAX(0,P110))*Setup!$I$7+Q110,1))</f>
        <v/>
      </c>
      <c r="T110" s="16">
        <f>IF(S110="","",1+COUNTIFS($R$2:$R$201,"Ready",$N$2:$N$201,N110,$S$2:$S$201,"&gt;"&amp;S110)+COUNTIFS($R$2:$R$201,"Ready",$N$2:$N$201,N110,$S$2:$S$201,"="&amp;S110,$B$2:$B$201,"&lt;"&amp;B110)+COUNTIFS($R$2:$R$201,"Ready",$N$2:$N$201,N110,$S$2:$S$201,"="&amp;S110,$B$2:$B$201,"="&amp;B110,$A$2:$A$201,"&lt;"&amp;A110))</f>
        <v/>
      </c>
      <c r="U110" s="17">
        <f>IF(A110="","",IF(R110&lt;&gt;"Ready",R110,IF(AND(K110="Not Contacted",J110&lt;&gt;""),"Clear last contact date or update outcome",IF(AND(K110&lt;&gt;"Not Contacted",J110=""),"Add last contact date",IF(AND(J110&lt;&gt;"",J110&gt;Setup!$I$4),"Last contact is after review date",IF(K110="Declined","Align status with declined outcome",IF(AND(L110&lt;&gt;"",L110&gt;G110),"Follow-up is after latest start",IF(AND(L110&lt;&gt;"",L110&lt;Setup!$I$4),"Follow-up overdue",IF(AND(L110&lt;&gt;"",L110&lt;=Setup!$I$4+Setup!$I$9),"Follow-up due soon",IF(AND(J110&lt;&gt;"",Setup!$I$4-J110&gt;Setup!$I$8),"Contact may be stale",""))))))))))</f>
        <v/>
      </c>
    </row>
    <row r="111" ht="22" customHeight="1">
      <c r="A111" s="13" t="n"/>
      <c r="B111" s="14" t="n"/>
      <c r="C111" s="15" t="n"/>
      <c r="D111" s="14" t="n"/>
      <c r="E111" s="14" t="n"/>
      <c r="F111" s="14" t="n"/>
      <c r="G111" s="14" t="n"/>
      <c r="H111" s="15" t="n"/>
      <c r="I111" s="13" t="n"/>
      <c r="J111" s="14" t="n"/>
      <c r="K111" s="15" t="n"/>
      <c r="L111" s="14" t="n"/>
      <c r="M111" s="16">
        <f>IF(OR(D111="",E111=""),"",12*(YEAR(E111)-YEAR(D111))+MONTH(E111)-MONTH(D111)-IF(DAY(E111)&lt;DAY(D111),1,0))</f>
        <v/>
      </c>
      <c r="N111" s="17">
        <f>IF(M111="","",IFERROR(IF(M111&lt;=VLOOKUP(M111,Setup!$A$4:$C$7,3,TRUE),VLOOKUP(M111,Setup!$A$4:$C$7,2,TRUE),"Outside configured ranges"),"Outside configured ranges"))</f>
        <v/>
      </c>
      <c r="O111" s="16">
        <f>IF(OR(B111="",B111&gt;Setup!$I$4),"",Setup!$I$4-B111)</f>
        <v/>
      </c>
      <c r="P111" s="16">
        <f>IF(G111="","",G111-Setup!$I$4)</f>
        <v/>
      </c>
      <c r="Q111" s="27">
        <f>IF(K111="","",IFERROR(VLOOKUP(K111,Setup!$E$4:$F$9,2,FALSE),""))</f>
        <v/>
      </c>
      <c r="R111" s="17">
        <f>IF(A111="","",IF(OR(B111="",C111="",D111="",E111="",F111="",G111="",H111="",I111="",K111=""),"Incomplete",IF(COUNTIF(Setup!$K$4:$K$8,I111)=0,"Invalid status",IF(COUNTIF(Setup!$L$4:$L$8,H111)=0,"Invalid schedule",IF(COUNTIF(Setup!$E$4:$E$9,K111)=0,"Invalid contact outcome",IF(I111&lt;&gt;"Active","Not active",IF(B111&gt;Setup!$I$4,"Future waitlist date",IF(D111&gt;E111,"Invalid age/date",IF(F111&gt;G111,"Invalid window",IF(OR(E111&lt;F111,E111&gt;G111),"Preferred date outside window",IF(G111&lt;Setup!$I$4,"Window expired",IF(OR(M111="",N111="Outside configured ranges"),"Outside age bands","Ready"))))))))))))</f>
        <v/>
      </c>
      <c r="S111" s="27">
        <f>IF(R111&lt;&gt;"Ready","",ROUND(O111*Setup!$I$5+MAX(0,Setup!$I$6-MAX(0,P111))*Setup!$I$7+Q111,1))</f>
        <v/>
      </c>
      <c r="T111" s="16">
        <f>IF(S111="","",1+COUNTIFS($R$2:$R$201,"Ready",$N$2:$N$201,N111,$S$2:$S$201,"&gt;"&amp;S111)+COUNTIFS($R$2:$R$201,"Ready",$N$2:$N$201,N111,$S$2:$S$201,"="&amp;S111,$B$2:$B$201,"&lt;"&amp;B111)+COUNTIFS($R$2:$R$201,"Ready",$N$2:$N$201,N111,$S$2:$S$201,"="&amp;S111,$B$2:$B$201,"="&amp;B111,$A$2:$A$201,"&lt;"&amp;A111))</f>
        <v/>
      </c>
      <c r="U111" s="17">
        <f>IF(A111="","",IF(R111&lt;&gt;"Ready",R111,IF(AND(K111="Not Contacted",J111&lt;&gt;""),"Clear last contact date or update outcome",IF(AND(K111&lt;&gt;"Not Contacted",J111=""),"Add last contact date",IF(AND(J111&lt;&gt;"",J111&gt;Setup!$I$4),"Last contact is after review date",IF(K111="Declined","Align status with declined outcome",IF(AND(L111&lt;&gt;"",L111&gt;G111),"Follow-up is after latest start",IF(AND(L111&lt;&gt;"",L111&lt;Setup!$I$4),"Follow-up overdue",IF(AND(L111&lt;&gt;"",L111&lt;=Setup!$I$4+Setup!$I$9),"Follow-up due soon",IF(AND(J111&lt;&gt;"",Setup!$I$4-J111&gt;Setup!$I$8),"Contact may be stale",""))))))))))</f>
        <v/>
      </c>
    </row>
    <row r="112" ht="22" customHeight="1">
      <c r="A112" s="13" t="n"/>
      <c r="B112" s="14" t="n"/>
      <c r="C112" s="15" t="n"/>
      <c r="D112" s="14" t="n"/>
      <c r="E112" s="14" t="n"/>
      <c r="F112" s="14" t="n"/>
      <c r="G112" s="14" t="n"/>
      <c r="H112" s="15" t="n"/>
      <c r="I112" s="13" t="n"/>
      <c r="J112" s="14" t="n"/>
      <c r="K112" s="15" t="n"/>
      <c r="L112" s="14" t="n"/>
      <c r="M112" s="16">
        <f>IF(OR(D112="",E112=""),"",12*(YEAR(E112)-YEAR(D112))+MONTH(E112)-MONTH(D112)-IF(DAY(E112)&lt;DAY(D112),1,0))</f>
        <v/>
      </c>
      <c r="N112" s="17">
        <f>IF(M112="","",IFERROR(IF(M112&lt;=VLOOKUP(M112,Setup!$A$4:$C$7,3,TRUE),VLOOKUP(M112,Setup!$A$4:$C$7,2,TRUE),"Outside configured ranges"),"Outside configured ranges"))</f>
        <v/>
      </c>
      <c r="O112" s="16">
        <f>IF(OR(B112="",B112&gt;Setup!$I$4),"",Setup!$I$4-B112)</f>
        <v/>
      </c>
      <c r="P112" s="16">
        <f>IF(G112="","",G112-Setup!$I$4)</f>
        <v/>
      </c>
      <c r="Q112" s="27">
        <f>IF(K112="","",IFERROR(VLOOKUP(K112,Setup!$E$4:$F$9,2,FALSE),""))</f>
        <v/>
      </c>
      <c r="R112" s="17">
        <f>IF(A112="","",IF(OR(B112="",C112="",D112="",E112="",F112="",G112="",H112="",I112="",K112=""),"Incomplete",IF(COUNTIF(Setup!$K$4:$K$8,I112)=0,"Invalid status",IF(COUNTIF(Setup!$L$4:$L$8,H112)=0,"Invalid schedule",IF(COUNTIF(Setup!$E$4:$E$9,K112)=0,"Invalid contact outcome",IF(I112&lt;&gt;"Active","Not active",IF(B112&gt;Setup!$I$4,"Future waitlist date",IF(D112&gt;E112,"Invalid age/date",IF(F112&gt;G112,"Invalid window",IF(OR(E112&lt;F112,E112&gt;G112),"Preferred date outside window",IF(G112&lt;Setup!$I$4,"Window expired",IF(OR(M112="",N112="Outside configured ranges"),"Outside age bands","Ready"))))))))))))</f>
        <v/>
      </c>
      <c r="S112" s="27">
        <f>IF(R112&lt;&gt;"Ready","",ROUND(O112*Setup!$I$5+MAX(0,Setup!$I$6-MAX(0,P112))*Setup!$I$7+Q112,1))</f>
        <v/>
      </c>
      <c r="T112" s="16">
        <f>IF(S112="","",1+COUNTIFS($R$2:$R$201,"Ready",$N$2:$N$201,N112,$S$2:$S$201,"&gt;"&amp;S112)+COUNTIFS($R$2:$R$201,"Ready",$N$2:$N$201,N112,$S$2:$S$201,"="&amp;S112,$B$2:$B$201,"&lt;"&amp;B112)+COUNTIFS($R$2:$R$201,"Ready",$N$2:$N$201,N112,$S$2:$S$201,"="&amp;S112,$B$2:$B$201,"="&amp;B112,$A$2:$A$201,"&lt;"&amp;A112))</f>
        <v/>
      </c>
      <c r="U112" s="17">
        <f>IF(A112="","",IF(R112&lt;&gt;"Ready",R112,IF(AND(K112="Not Contacted",J112&lt;&gt;""),"Clear last contact date or update outcome",IF(AND(K112&lt;&gt;"Not Contacted",J112=""),"Add last contact date",IF(AND(J112&lt;&gt;"",J112&gt;Setup!$I$4),"Last contact is after review date",IF(K112="Declined","Align status with declined outcome",IF(AND(L112&lt;&gt;"",L112&gt;G112),"Follow-up is after latest start",IF(AND(L112&lt;&gt;"",L112&lt;Setup!$I$4),"Follow-up overdue",IF(AND(L112&lt;&gt;"",L112&lt;=Setup!$I$4+Setup!$I$9),"Follow-up due soon",IF(AND(J112&lt;&gt;"",Setup!$I$4-J112&gt;Setup!$I$8),"Contact may be stale",""))))))))))</f>
        <v/>
      </c>
    </row>
    <row r="113" ht="22" customHeight="1">
      <c r="A113" s="13" t="n"/>
      <c r="B113" s="14" t="n"/>
      <c r="C113" s="15" t="n"/>
      <c r="D113" s="14" t="n"/>
      <c r="E113" s="14" t="n"/>
      <c r="F113" s="14" t="n"/>
      <c r="G113" s="14" t="n"/>
      <c r="H113" s="15" t="n"/>
      <c r="I113" s="13" t="n"/>
      <c r="J113" s="14" t="n"/>
      <c r="K113" s="15" t="n"/>
      <c r="L113" s="14" t="n"/>
      <c r="M113" s="16">
        <f>IF(OR(D113="",E113=""),"",12*(YEAR(E113)-YEAR(D113))+MONTH(E113)-MONTH(D113)-IF(DAY(E113)&lt;DAY(D113),1,0))</f>
        <v/>
      </c>
      <c r="N113" s="17">
        <f>IF(M113="","",IFERROR(IF(M113&lt;=VLOOKUP(M113,Setup!$A$4:$C$7,3,TRUE),VLOOKUP(M113,Setup!$A$4:$C$7,2,TRUE),"Outside configured ranges"),"Outside configured ranges"))</f>
        <v/>
      </c>
      <c r="O113" s="16">
        <f>IF(OR(B113="",B113&gt;Setup!$I$4),"",Setup!$I$4-B113)</f>
        <v/>
      </c>
      <c r="P113" s="16">
        <f>IF(G113="","",G113-Setup!$I$4)</f>
        <v/>
      </c>
      <c r="Q113" s="27">
        <f>IF(K113="","",IFERROR(VLOOKUP(K113,Setup!$E$4:$F$9,2,FALSE),""))</f>
        <v/>
      </c>
      <c r="R113" s="17">
        <f>IF(A113="","",IF(OR(B113="",C113="",D113="",E113="",F113="",G113="",H113="",I113="",K113=""),"Incomplete",IF(COUNTIF(Setup!$K$4:$K$8,I113)=0,"Invalid status",IF(COUNTIF(Setup!$L$4:$L$8,H113)=0,"Invalid schedule",IF(COUNTIF(Setup!$E$4:$E$9,K113)=0,"Invalid contact outcome",IF(I113&lt;&gt;"Active","Not active",IF(B113&gt;Setup!$I$4,"Future waitlist date",IF(D113&gt;E113,"Invalid age/date",IF(F113&gt;G113,"Invalid window",IF(OR(E113&lt;F113,E113&gt;G113),"Preferred date outside window",IF(G113&lt;Setup!$I$4,"Window expired",IF(OR(M113="",N113="Outside configured ranges"),"Outside age bands","Ready"))))))))))))</f>
        <v/>
      </c>
      <c r="S113" s="27">
        <f>IF(R113&lt;&gt;"Ready","",ROUND(O113*Setup!$I$5+MAX(0,Setup!$I$6-MAX(0,P113))*Setup!$I$7+Q113,1))</f>
        <v/>
      </c>
      <c r="T113" s="16">
        <f>IF(S113="","",1+COUNTIFS($R$2:$R$201,"Ready",$N$2:$N$201,N113,$S$2:$S$201,"&gt;"&amp;S113)+COUNTIFS($R$2:$R$201,"Ready",$N$2:$N$201,N113,$S$2:$S$201,"="&amp;S113,$B$2:$B$201,"&lt;"&amp;B113)+COUNTIFS($R$2:$R$201,"Ready",$N$2:$N$201,N113,$S$2:$S$201,"="&amp;S113,$B$2:$B$201,"="&amp;B113,$A$2:$A$201,"&lt;"&amp;A113))</f>
        <v/>
      </c>
      <c r="U113" s="17">
        <f>IF(A113="","",IF(R113&lt;&gt;"Ready",R113,IF(AND(K113="Not Contacted",J113&lt;&gt;""),"Clear last contact date or update outcome",IF(AND(K113&lt;&gt;"Not Contacted",J113=""),"Add last contact date",IF(AND(J113&lt;&gt;"",J113&gt;Setup!$I$4),"Last contact is after review date",IF(K113="Declined","Align status with declined outcome",IF(AND(L113&lt;&gt;"",L113&gt;G113),"Follow-up is after latest start",IF(AND(L113&lt;&gt;"",L113&lt;Setup!$I$4),"Follow-up overdue",IF(AND(L113&lt;&gt;"",L113&lt;=Setup!$I$4+Setup!$I$9),"Follow-up due soon",IF(AND(J113&lt;&gt;"",Setup!$I$4-J113&gt;Setup!$I$8),"Contact may be stale",""))))))))))</f>
        <v/>
      </c>
    </row>
    <row r="114" ht="22" customHeight="1">
      <c r="A114" s="13" t="n"/>
      <c r="B114" s="14" t="n"/>
      <c r="C114" s="15" t="n"/>
      <c r="D114" s="14" t="n"/>
      <c r="E114" s="14" t="n"/>
      <c r="F114" s="14" t="n"/>
      <c r="G114" s="14" t="n"/>
      <c r="H114" s="15" t="n"/>
      <c r="I114" s="13" t="n"/>
      <c r="J114" s="14" t="n"/>
      <c r="K114" s="15" t="n"/>
      <c r="L114" s="14" t="n"/>
      <c r="M114" s="16">
        <f>IF(OR(D114="",E114=""),"",12*(YEAR(E114)-YEAR(D114))+MONTH(E114)-MONTH(D114)-IF(DAY(E114)&lt;DAY(D114),1,0))</f>
        <v/>
      </c>
      <c r="N114" s="17">
        <f>IF(M114="","",IFERROR(IF(M114&lt;=VLOOKUP(M114,Setup!$A$4:$C$7,3,TRUE),VLOOKUP(M114,Setup!$A$4:$C$7,2,TRUE),"Outside configured ranges"),"Outside configured ranges"))</f>
        <v/>
      </c>
      <c r="O114" s="16">
        <f>IF(OR(B114="",B114&gt;Setup!$I$4),"",Setup!$I$4-B114)</f>
        <v/>
      </c>
      <c r="P114" s="16">
        <f>IF(G114="","",G114-Setup!$I$4)</f>
        <v/>
      </c>
      <c r="Q114" s="27">
        <f>IF(K114="","",IFERROR(VLOOKUP(K114,Setup!$E$4:$F$9,2,FALSE),""))</f>
        <v/>
      </c>
      <c r="R114" s="17">
        <f>IF(A114="","",IF(OR(B114="",C114="",D114="",E114="",F114="",G114="",H114="",I114="",K114=""),"Incomplete",IF(COUNTIF(Setup!$K$4:$K$8,I114)=0,"Invalid status",IF(COUNTIF(Setup!$L$4:$L$8,H114)=0,"Invalid schedule",IF(COUNTIF(Setup!$E$4:$E$9,K114)=0,"Invalid contact outcome",IF(I114&lt;&gt;"Active","Not active",IF(B114&gt;Setup!$I$4,"Future waitlist date",IF(D114&gt;E114,"Invalid age/date",IF(F114&gt;G114,"Invalid window",IF(OR(E114&lt;F114,E114&gt;G114),"Preferred date outside window",IF(G114&lt;Setup!$I$4,"Window expired",IF(OR(M114="",N114="Outside configured ranges"),"Outside age bands","Ready"))))))))))))</f>
        <v/>
      </c>
      <c r="S114" s="27">
        <f>IF(R114&lt;&gt;"Ready","",ROUND(O114*Setup!$I$5+MAX(0,Setup!$I$6-MAX(0,P114))*Setup!$I$7+Q114,1))</f>
        <v/>
      </c>
      <c r="T114" s="16">
        <f>IF(S114="","",1+COUNTIFS($R$2:$R$201,"Ready",$N$2:$N$201,N114,$S$2:$S$201,"&gt;"&amp;S114)+COUNTIFS($R$2:$R$201,"Ready",$N$2:$N$201,N114,$S$2:$S$201,"="&amp;S114,$B$2:$B$201,"&lt;"&amp;B114)+COUNTIFS($R$2:$R$201,"Ready",$N$2:$N$201,N114,$S$2:$S$201,"="&amp;S114,$B$2:$B$201,"="&amp;B114,$A$2:$A$201,"&lt;"&amp;A114))</f>
        <v/>
      </c>
      <c r="U114" s="17">
        <f>IF(A114="","",IF(R114&lt;&gt;"Ready",R114,IF(AND(K114="Not Contacted",J114&lt;&gt;""),"Clear last contact date or update outcome",IF(AND(K114&lt;&gt;"Not Contacted",J114=""),"Add last contact date",IF(AND(J114&lt;&gt;"",J114&gt;Setup!$I$4),"Last contact is after review date",IF(K114="Declined","Align status with declined outcome",IF(AND(L114&lt;&gt;"",L114&gt;G114),"Follow-up is after latest start",IF(AND(L114&lt;&gt;"",L114&lt;Setup!$I$4),"Follow-up overdue",IF(AND(L114&lt;&gt;"",L114&lt;=Setup!$I$4+Setup!$I$9),"Follow-up due soon",IF(AND(J114&lt;&gt;"",Setup!$I$4-J114&gt;Setup!$I$8),"Contact may be stale",""))))))))))</f>
        <v/>
      </c>
    </row>
    <row r="115" ht="22" customHeight="1">
      <c r="A115" s="13" t="n"/>
      <c r="B115" s="14" t="n"/>
      <c r="C115" s="15" t="n"/>
      <c r="D115" s="14" t="n"/>
      <c r="E115" s="14" t="n"/>
      <c r="F115" s="14" t="n"/>
      <c r="G115" s="14" t="n"/>
      <c r="H115" s="15" t="n"/>
      <c r="I115" s="13" t="n"/>
      <c r="J115" s="14" t="n"/>
      <c r="K115" s="15" t="n"/>
      <c r="L115" s="14" t="n"/>
      <c r="M115" s="16">
        <f>IF(OR(D115="",E115=""),"",12*(YEAR(E115)-YEAR(D115))+MONTH(E115)-MONTH(D115)-IF(DAY(E115)&lt;DAY(D115),1,0))</f>
        <v/>
      </c>
      <c r="N115" s="17">
        <f>IF(M115="","",IFERROR(IF(M115&lt;=VLOOKUP(M115,Setup!$A$4:$C$7,3,TRUE),VLOOKUP(M115,Setup!$A$4:$C$7,2,TRUE),"Outside configured ranges"),"Outside configured ranges"))</f>
        <v/>
      </c>
      <c r="O115" s="16">
        <f>IF(OR(B115="",B115&gt;Setup!$I$4),"",Setup!$I$4-B115)</f>
        <v/>
      </c>
      <c r="P115" s="16">
        <f>IF(G115="","",G115-Setup!$I$4)</f>
        <v/>
      </c>
      <c r="Q115" s="27">
        <f>IF(K115="","",IFERROR(VLOOKUP(K115,Setup!$E$4:$F$9,2,FALSE),""))</f>
        <v/>
      </c>
      <c r="R115" s="17">
        <f>IF(A115="","",IF(OR(B115="",C115="",D115="",E115="",F115="",G115="",H115="",I115="",K115=""),"Incomplete",IF(COUNTIF(Setup!$K$4:$K$8,I115)=0,"Invalid status",IF(COUNTIF(Setup!$L$4:$L$8,H115)=0,"Invalid schedule",IF(COUNTIF(Setup!$E$4:$E$9,K115)=0,"Invalid contact outcome",IF(I115&lt;&gt;"Active","Not active",IF(B115&gt;Setup!$I$4,"Future waitlist date",IF(D115&gt;E115,"Invalid age/date",IF(F115&gt;G115,"Invalid window",IF(OR(E115&lt;F115,E115&gt;G115),"Preferred date outside window",IF(G115&lt;Setup!$I$4,"Window expired",IF(OR(M115="",N115="Outside configured ranges"),"Outside age bands","Ready"))))))))))))</f>
        <v/>
      </c>
      <c r="S115" s="27">
        <f>IF(R115&lt;&gt;"Ready","",ROUND(O115*Setup!$I$5+MAX(0,Setup!$I$6-MAX(0,P115))*Setup!$I$7+Q115,1))</f>
        <v/>
      </c>
      <c r="T115" s="16">
        <f>IF(S115="","",1+COUNTIFS($R$2:$R$201,"Ready",$N$2:$N$201,N115,$S$2:$S$201,"&gt;"&amp;S115)+COUNTIFS($R$2:$R$201,"Ready",$N$2:$N$201,N115,$S$2:$S$201,"="&amp;S115,$B$2:$B$201,"&lt;"&amp;B115)+COUNTIFS($R$2:$R$201,"Ready",$N$2:$N$201,N115,$S$2:$S$201,"="&amp;S115,$B$2:$B$201,"="&amp;B115,$A$2:$A$201,"&lt;"&amp;A115))</f>
        <v/>
      </c>
      <c r="U115" s="17">
        <f>IF(A115="","",IF(R115&lt;&gt;"Ready",R115,IF(AND(K115="Not Contacted",J115&lt;&gt;""),"Clear last contact date or update outcome",IF(AND(K115&lt;&gt;"Not Contacted",J115=""),"Add last contact date",IF(AND(J115&lt;&gt;"",J115&gt;Setup!$I$4),"Last contact is after review date",IF(K115="Declined","Align status with declined outcome",IF(AND(L115&lt;&gt;"",L115&gt;G115),"Follow-up is after latest start",IF(AND(L115&lt;&gt;"",L115&lt;Setup!$I$4),"Follow-up overdue",IF(AND(L115&lt;&gt;"",L115&lt;=Setup!$I$4+Setup!$I$9),"Follow-up due soon",IF(AND(J115&lt;&gt;"",Setup!$I$4-J115&gt;Setup!$I$8),"Contact may be stale",""))))))))))</f>
        <v/>
      </c>
    </row>
    <row r="116" ht="22" customHeight="1">
      <c r="A116" s="13" t="n"/>
      <c r="B116" s="14" t="n"/>
      <c r="C116" s="15" t="n"/>
      <c r="D116" s="14" t="n"/>
      <c r="E116" s="14" t="n"/>
      <c r="F116" s="14" t="n"/>
      <c r="G116" s="14" t="n"/>
      <c r="H116" s="15" t="n"/>
      <c r="I116" s="13" t="n"/>
      <c r="J116" s="14" t="n"/>
      <c r="K116" s="15" t="n"/>
      <c r="L116" s="14" t="n"/>
      <c r="M116" s="16">
        <f>IF(OR(D116="",E116=""),"",12*(YEAR(E116)-YEAR(D116))+MONTH(E116)-MONTH(D116)-IF(DAY(E116)&lt;DAY(D116),1,0))</f>
        <v/>
      </c>
      <c r="N116" s="17">
        <f>IF(M116="","",IFERROR(IF(M116&lt;=VLOOKUP(M116,Setup!$A$4:$C$7,3,TRUE),VLOOKUP(M116,Setup!$A$4:$C$7,2,TRUE),"Outside configured ranges"),"Outside configured ranges"))</f>
        <v/>
      </c>
      <c r="O116" s="16">
        <f>IF(OR(B116="",B116&gt;Setup!$I$4),"",Setup!$I$4-B116)</f>
        <v/>
      </c>
      <c r="P116" s="16">
        <f>IF(G116="","",G116-Setup!$I$4)</f>
        <v/>
      </c>
      <c r="Q116" s="27">
        <f>IF(K116="","",IFERROR(VLOOKUP(K116,Setup!$E$4:$F$9,2,FALSE),""))</f>
        <v/>
      </c>
      <c r="R116" s="17">
        <f>IF(A116="","",IF(OR(B116="",C116="",D116="",E116="",F116="",G116="",H116="",I116="",K116=""),"Incomplete",IF(COUNTIF(Setup!$K$4:$K$8,I116)=0,"Invalid status",IF(COUNTIF(Setup!$L$4:$L$8,H116)=0,"Invalid schedule",IF(COUNTIF(Setup!$E$4:$E$9,K116)=0,"Invalid contact outcome",IF(I116&lt;&gt;"Active","Not active",IF(B116&gt;Setup!$I$4,"Future waitlist date",IF(D116&gt;E116,"Invalid age/date",IF(F116&gt;G116,"Invalid window",IF(OR(E116&lt;F116,E116&gt;G116),"Preferred date outside window",IF(G116&lt;Setup!$I$4,"Window expired",IF(OR(M116="",N116="Outside configured ranges"),"Outside age bands","Ready"))))))))))))</f>
        <v/>
      </c>
      <c r="S116" s="27">
        <f>IF(R116&lt;&gt;"Ready","",ROUND(O116*Setup!$I$5+MAX(0,Setup!$I$6-MAX(0,P116))*Setup!$I$7+Q116,1))</f>
        <v/>
      </c>
      <c r="T116" s="16">
        <f>IF(S116="","",1+COUNTIFS($R$2:$R$201,"Ready",$N$2:$N$201,N116,$S$2:$S$201,"&gt;"&amp;S116)+COUNTIFS($R$2:$R$201,"Ready",$N$2:$N$201,N116,$S$2:$S$201,"="&amp;S116,$B$2:$B$201,"&lt;"&amp;B116)+COUNTIFS($R$2:$R$201,"Ready",$N$2:$N$201,N116,$S$2:$S$201,"="&amp;S116,$B$2:$B$201,"="&amp;B116,$A$2:$A$201,"&lt;"&amp;A116))</f>
        <v/>
      </c>
      <c r="U116" s="17">
        <f>IF(A116="","",IF(R116&lt;&gt;"Ready",R116,IF(AND(K116="Not Contacted",J116&lt;&gt;""),"Clear last contact date or update outcome",IF(AND(K116&lt;&gt;"Not Contacted",J116=""),"Add last contact date",IF(AND(J116&lt;&gt;"",J116&gt;Setup!$I$4),"Last contact is after review date",IF(K116="Declined","Align status with declined outcome",IF(AND(L116&lt;&gt;"",L116&gt;G116),"Follow-up is after latest start",IF(AND(L116&lt;&gt;"",L116&lt;Setup!$I$4),"Follow-up overdue",IF(AND(L116&lt;&gt;"",L116&lt;=Setup!$I$4+Setup!$I$9),"Follow-up due soon",IF(AND(J116&lt;&gt;"",Setup!$I$4-J116&gt;Setup!$I$8),"Contact may be stale",""))))))))))</f>
        <v/>
      </c>
    </row>
    <row r="117" ht="22" customHeight="1">
      <c r="A117" s="13" t="n"/>
      <c r="B117" s="14" t="n"/>
      <c r="C117" s="15" t="n"/>
      <c r="D117" s="14" t="n"/>
      <c r="E117" s="14" t="n"/>
      <c r="F117" s="14" t="n"/>
      <c r="G117" s="14" t="n"/>
      <c r="H117" s="15" t="n"/>
      <c r="I117" s="13" t="n"/>
      <c r="J117" s="14" t="n"/>
      <c r="K117" s="15" t="n"/>
      <c r="L117" s="14" t="n"/>
      <c r="M117" s="16">
        <f>IF(OR(D117="",E117=""),"",12*(YEAR(E117)-YEAR(D117))+MONTH(E117)-MONTH(D117)-IF(DAY(E117)&lt;DAY(D117),1,0))</f>
        <v/>
      </c>
      <c r="N117" s="17">
        <f>IF(M117="","",IFERROR(IF(M117&lt;=VLOOKUP(M117,Setup!$A$4:$C$7,3,TRUE),VLOOKUP(M117,Setup!$A$4:$C$7,2,TRUE),"Outside configured ranges"),"Outside configured ranges"))</f>
        <v/>
      </c>
      <c r="O117" s="16">
        <f>IF(OR(B117="",B117&gt;Setup!$I$4),"",Setup!$I$4-B117)</f>
        <v/>
      </c>
      <c r="P117" s="16">
        <f>IF(G117="","",G117-Setup!$I$4)</f>
        <v/>
      </c>
      <c r="Q117" s="27">
        <f>IF(K117="","",IFERROR(VLOOKUP(K117,Setup!$E$4:$F$9,2,FALSE),""))</f>
        <v/>
      </c>
      <c r="R117" s="17">
        <f>IF(A117="","",IF(OR(B117="",C117="",D117="",E117="",F117="",G117="",H117="",I117="",K117=""),"Incomplete",IF(COUNTIF(Setup!$K$4:$K$8,I117)=0,"Invalid status",IF(COUNTIF(Setup!$L$4:$L$8,H117)=0,"Invalid schedule",IF(COUNTIF(Setup!$E$4:$E$9,K117)=0,"Invalid contact outcome",IF(I117&lt;&gt;"Active","Not active",IF(B117&gt;Setup!$I$4,"Future waitlist date",IF(D117&gt;E117,"Invalid age/date",IF(F117&gt;G117,"Invalid window",IF(OR(E117&lt;F117,E117&gt;G117),"Preferred date outside window",IF(G117&lt;Setup!$I$4,"Window expired",IF(OR(M117="",N117="Outside configured ranges"),"Outside age bands","Ready"))))))))))))</f>
        <v/>
      </c>
      <c r="S117" s="27">
        <f>IF(R117&lt;&gt;"Ready","",ROUND(O117*Setup!$I$5+MAX(0,Setup!$I$6-MAX(0,P117))*Setup!$I$7+Q117,1))</f>
        <v/>
      </c>
      <c r="T117" s="16">
        <f>IF(S117="","",1+COUNTIFS($R$2:$R$201,"Ready",$N$2:$N$201,N117,$S$2:$S$201,"&gt;"&amp;S117)+COUNTIFS($R$2:$R$201,"Ready",$N$2:$N$201,N117,$S$2:$S$201,"="&amp;S117,$B$2:$B$201,"&lt;"&amp;B117)+COUNTIFS($R$2:$R$201,"Ready",$N$2:$N$201,N117,$S$2:$S$201,"="&amp;S117,$B$2:$B$201,"="&amp;B117,$A$2:$A$201,"&lt;"&amp;A117))</f>
        <v/>
      </c>
      <c r="U117" s="17">
        <f>IF(A117="","",IF(R117&lt;&gt;"Ready",R117,IF(AND(K117="Not Contacted",J117&lt;&gt;""),"Clear last contact date or update outcome",IF(AND(K117&lt;&gt;"Not Contacted",J117=""),"Add last contact date",IF(AND(J117&lt;&gt;"",J117&gt;Setup!$I$4),"Last contact is after review date",IF(K117="Declined","Align status with declined outcome",IF(AND(L117&lt;&gt;"",L117&gt;G117),"Follow-up is after latest start",IF(AND(L117&lt;&gt;"",L117&lt;Setup!$I$4),"Follow-up overdue",IF(AND(L117&lt;&gt;"",L117&lt;=Setup!$I$4+Setup!$I$9),"Follow-up due soon",IF(AND(J117&lt;&gt;"",Setup!$I$4-J117&gt;Setup!$I$8),"Contact may be stale",""))))))))))</f>
        <v/>
      </c>
    </row>
    <row r="118" ht="22" customHeight="1">
      <c r="A118" s="13" t="n"/>
      <c r="B118" s="14" t="n"/>
      <c r="C118" s="15" t="n"/>
      <c r="D118" s="14" t="n"/>
      <c r="E118" s="14" t="n"/>
      <c r="F118" s="14" t="n"/>
      <c r="G118" s="14" t="n"/>
      <c r="H118" s="15" t="n"/>
      <c r="I118" s="13" t="n"/>
      <c r="J118" s="14" t="n"/>
      <c r="K118" s="15" t="n"/>
      <c r="L118" s="14" t="n"/>
      <c r="M118" s="16">
        <f>IF(OR(D118="",E118=""),"",12*(YEAR(E118)-YEAR(D118))+MONTH(E118)-MONTH(D118)-IF(DAY(E118)&lt;DAY(D118),1,0))</f>
        <v/>
      </c>
      <c r="N118" s="17">
        <f>IF(M118="","",IFERROR(IF(M118&lt;=VLOOKUP(M118,Setup!$A$4:$C$7,3,TRUE),VLOOKUP(M118,Setup!$A$4:$C$7,2,TRUE),"Outside configured ranges"),"Outside configured ranges"))</f>
        <v/>
      </c>
      <c r="O118" s="16">
        <f>IF(OR(B118="",B118&gt;Setup!$I$4),"",Setup!$I$4-B118)</f>
        <v/>
      </c>
      <c r="P118" s="16">
        <f>IF(G118="","",G118-Setup!$I$4)</f>
        <v/>
      </c>
      <c r="Q118" s="27">
        <f>IF(K118="","",IFERROR(VLOOKUP(K118,Setup!$E$4:$F$9,2,FALSE),""))</f>
        <v/>
      </c>
      <c r="R118" s="17">
        <f>IF(A118="","",IF(OR(B118="",C118="",D118="",E118="",F118="",G118="",H118="",I118="",K118=""),"Incomplete",IF(COUNTIF(Setup!$K$4:$K$8,I118)=0,"Invalid status",IF(COUNTIF(Setup!$L$4:$L$8,H118)=0,"Invalid schedule",IF(COUNTIF(Setup!$E$4:$E$9,K118)=0,"Invalid contact outcome",IF(I118&lt;&gt;"Active","Not active",IF(B118&gt;Setup!$I$4,"Future waitlist date",IF(D118&gt;E118,"Invalid age/date",IF(F118&gt;G118,"Invalid window",IF(OR(E118&lt;F118,E118&gt;G118),"Preferred date outside window",IF(G118&lt;Setup!$I$4,"Window expired",IF(OR(M118="",N118="Outside configured ranges"),"Outside age bands","Ready"))))))))))))</f>
        <v/>
      </c>
      <c r="S118" s="27">
        <f>IF(R118&lt;&gt;"Ready","",ROUND(O118*Setup!$I$5+MAX(0,Setup!$I$6-MAX(0,P118))*Setup!$I$7+Q118,1))</f>
        <v/>
      </c>
      <c r="T118" s="16">
        <f>IF(S118="","",1+COUNTIFS($R$2:$R$201,"Ready",$N$2:$N$201,N118,$S$2:$S$201,"&gt;"&amp;S118)+COUNTIFS($R$2:$R$201,"Ready",$N$2:$N$201,N118,$S$2:$S$201,"="&amp;S118,$B$2:$B$201,"&lt;"&amp;B118)+COUNTIFS($R$2:$R$201,"Ready",$N$2:$N$201,N118,$S$2:$S$201,"="&amp;S118,$B$2:$B$201,"="&amp;B118,$A$2:$A$201,"&lt;"&amp;A118))</f>
        <v/>
      </c>
      <c r="U118" s="17">
        <f>IF(A118="","",IF(R118&lt;&gt;"Ready",R118,IF(AND(K118="Not Contacted",J118&lt;&gt;""),"Clear last contact date or update outcome",IF(AND(K118&lt;&gt;"Not Contacted",J118=""),"Add last contact date",IF(AND(J118&lt;&gt;"",J118&gt;Setup!$I$4),"Last contact is after review date",IF(K118="Declined","Align status with declined outcome",IF(AND(L118&lt;&gt;"",L118&gt;G118),"Follow-up is after latest start",IF(AND(L118&lt;&gt;"",L118&lt;Setup!$I$4),"Follow-up overdue",IF(AND(L118&lt;&gt;"",L118&lt;=Setup!$I$4+Setup!$I$9),"Follow-up due soon",IF(AND(J118&lt;&gt;"",Setup!$I$4-J118&gt;Setup!$I$8),"Contact may be stale",""))))))))))</f>
        <v/>
      </c>
    </row>
    <row r="119" ht="22" customHeight="1">
      <c r="A119" s="13" t="n"/>
      <c r="B119" s="14" t="n"/>
      <c r="C119" s="15" t="n"/>
      <c r="D119" s="14" t="n"/>
      <c r="E119" s="14" t="n"/>
      <c r="F119" s="14" t="n"/>
      <c r="G119" s="14" t="n"/>
      <c r="H119" s="15" t="n"/>
      <c r="I119" s="13" t="n"/>
      <c r="J119" s="14" t="n"/>
      <c r="K119" s="15" t="n"/>
      <c r="L119" s="14" t="n"/>
      <c r="M119" s="16">
        <f>IF(OR(D119="",E119=""),"",12*(YEAR(E119)-YEAR(D119))+MONTH(E119)-MONTH(D119)-IF(DAY(E119)&lt;DAY(D119),1,0))</f>
        <v/>
      </c>
      <c r="N119" s="17">
        <f>IF(M119="","",IFERROR(IF(M119&lt;=VLOOKUP(M119,Setup!$A$4:$C$7,3,TRUE),VLOOKUP(M119,Setup!$A$4:$C$7,2,TRUE),"Outside configured ranges"),"Outside configured ranges"))</f>
        <v/>
      </c>
      <c r="O119" s="16">
        <f>IF(OR(B119="",B119&gt;Setup!$I$4),"",Setup!$I$4-B119)</f>
        <v/>
      </c>
      <c r="P119" s="16">
        <f>IF(G119="","",G119-Setup!$I$4)</f>
        <v/>
      </c>
      <c r="Q119" s="27">
        <f>IF(K119="","",IFERROR(VLOOKUP(K119,Setup!$E$4:$F$9,2,FALSE),""))</f>
        <v/>
      </c>
      <c r="R119" s="17">
        <f>IF(A119="","",IF(OR(B119="",C119="",D119="",E119="",F119="",G119="",H119="",I119="",K119=""),"Incomplete",IF(COUNTIF(Setup!$K$4:$K$8,I119)=0,"Invalid status",IF(COUNTIF(Setup!$L$4:$L$8,H119)=0,"Invalid schedule",IF(COUNTIF(Setup!$E$4:$E$9,K119)=0,"Invalid contact outcome",IF(I119&lt;&gt;"Active","Not active",IF(B119&gt;Setup!$I$4,"Future waitlist date",IF(D119&gt;E119,"Invalid age/date",IF(F119&gt;G119,"Invalid window",IF(OR(E119&lt;F119,E119&gt;G119),"Preferred date outside window",IF(G119&lt;Setup!$I$4,"Window expired",IF(OR(M119="",N119="Outside configured ranges"),"Outside age bands","Ready"))))))))))))</f>
        <v/>
      </c>
      <c r="S119" s="27">
        <f>IF(R119&lt;&gt;"Ready","",ROUND(O119*Setup!$I$5+MAX(0,Setup!$I$6-MAX(0,P119))*Setup!$I$7+Q119,1))</f>
        <v/>
      </c>
      <c r="T119" s="16">
        <f>IF(S119="","",1+COUNTIFS($R$2:$R$201,"Ready",$N$2:$N$201,N119,$S$2:$S$201,"&gt;"&amp;S119)+COUNTIFS($R$2:$R$201,"Ready",$N$2:$N$201,N119,$S$2:$S$201,"="&amp;S119,$B$2:$B$201,"&lt;"&amp;B119)+COUNTIFS($R$2:$R$201,"Ready",$N$2:$N$201,N119,$S$2:$S$201,"="&amp;S119,$B$2:$B$201,"="&amp;B119,$A$2:$A$201,"&lt;"&amp;A119))</f>
        <v/>
      </c>
      <c r="U119" s="17">
        <f>IF(A119="","",IF(R119&lt;&gt;"Ready",R119,IF(AND(K119="Not Contacted",J119&lt;&gt;""),"Clear last contact date or update outcome",IF(AND(K119&lt;&gt;"Not Contacted",J119=""),"Add last contact date",IF(AND(J119&lt;&gt;"",J119&gt;Setup!$I$4),"Last contact is after review date",IF(K119="Declined","Align status with declined outcome",IF(AND(L119&lt;&gt;"",L119&gt;G119),"Follow-up is after latest start",IF(AND(L119&lt;&gt;"",L119&lt;Setup!$I$4),"Follow-up overdue",IF(AND(L119&lt;&gt;"",L119&lt;=Setup!$I$4+Setup!$I$9),"Follow-up due soon",IF(AND(J119&lt;&gt;"",Setup!$I$4-J119&gt;Setup!$I$8),"Contact may be stale",""))))))))))</f>
        <v/>
      </c>
    </row>
    <row r="120" ht="22" customHeight="1">
      <c r="A120" s="13" t="n"/>
      <c r="B120" s="14" t="n"/>
      <c r="C120" s="15" t="n"/>
      <c r="D120" s="14" t="n"/>
      <c r="E120" s="14" t="n"/>
      <c r="F120" s="14" t="n"/>
      <c r="G120" s="14" t="n"/>
      <c r="H120" s="15" t="n"/>
      <c r="I120" s="13" t="n"/>
      <c r="J120" s="14" t="n"/>
      <c r="K120" s="15" t="n"/>
      <c r="L120" s="14" t="n"/>
      <c r="M120" s="16">
        <f>IF(OR(D120="",E120=""),"",12*(YEAR(E120)-YEAR(D120))+MONTH(E120)-MONTH(D120)-IF(DAY(E120)&lt;DAY(D120),1,0))</f>
        <v/>
      </c>
      <c r="N120" s="17">
        <f>IF(M120="","",IFERROR(IF(M120&lt;=VLOOKUP(M120,Setup!$A$4:$C$7,3,TRUE),VLOOKUP(M120,Setup!$A$4:$C$7,2,TRUE),"Outside configured ranges"),"Outside configured ranges"))</f>
        <v/>
      </c>
      <c r="O120" s="16">
        <f>IF(OR(B120="",B120&gt;Setup!$I$4),"",Setup!$I$4-B120)</f>
        <v/>
      </c>
      <c r="P120" s="16">
        <f>IF(G120="","",G120-Setup!$I$4)</f>
        <v/>
      </c>
      <c r="Q120" s="27">
        <f>IF(K120="","",IFERROR(VLOOKUP(K120,Setup!$E$4:$F$9,2,FALSE),""))</f>
        <v/>
      </c>
      <c r="R120" s="17">
        <f>IF(A120="","",IF(OR(B120="",C120="",D120="",E120="",F120="",G120="",H120="",I120="",K120=""),"Incomplete",IF(COUNTIF(Setup!$K$4:$K$8,I120)=0,"Invalid status",IF(COUNTIF(Setup!$L$4:$L$8,H120)=0,"Invalid schedule",IF(COUNTIF(Setup!$E$4:$E$9,K120)=0,"Invalid contact outcome",IF(I120&lt;&gt;"Active","Not active",IF(B120&gt;Setup!$I$4,"Future waitlist date",IF(D120&gt;E120,"Invalid age/date",IF(F120&gt;G120,"Invalid window",IF(OR(E120&lt;F120,E120&gt;G120),"Preferred date outside window",IF(G120&lt;Setup!$I$4,"Window expired",IF(OR(M120="",N120="Outside configured ranges"),"Outside age bands","Ready"))))))))))))</f>
        <v/>
      </c>
      <c r="S120" s="27">
        <f>IF(R120&lt;&gt;"Ready","",ROUND(O120*Setup!$I$5+MAX(0,Setup!$I$6-MAX(0,P120))*Setup!$I$7+Q120,1))</f>
        <v/>
      </c>
      <c r="T120" s="16">
        <f>IF(S120="","",1+COUNTIFS($R$2:$R$201,"Ready",$N$2:$N$201,N120,$S$2:$S$201,"&gt;"&amp;S120)+COUNTIFS($R$2:$R$201,"Ready",$N$2:$N$201,N120,$S$2:$S$201,"="&amp;S120,$B$2:$B$201,"&lt;"&amp;B120)+COUNTIFS($R$2:$R$201,"Ready",$N$2:$N$201,N120,$S$2:$S$201,"="&amp;S120,$B$2:$B$201,"="&amp;B120,$A$2:$A$201,"&lt;"&amp;A120))</f>
        <v/>
      </c>
      <c r="U120" s="17">
        <f>IF(A120="","",IF(R120&lt;&gt;"Ready",R120,IF(AND(K120="Not Contacted",J120&lt;&gt;""),"Clear last contact date or update outcome",IF(AND(K120&lt;&gt;"Not Contacted",J120=""),"Add last contact date",IF(AND(J120&lt;&gt;"",J120&gt;Setup!$I$4),"Last contact is after review date",IF(K120="Declined","Align status with declined outcome",IF(AND(L120&lt;&gt;"",L120&gt;G120),"Follow-up is after latest start",IF(AND(L120&lt;&gt;"",L120&lt;Setup!$I$4),"Follow-up overdue",IF(AND(L120&lt;&gt;"",L120&lt;=Setup!$I$4+Setup!$I$9),"Follow-up due soon",IF(AND(J120&lt;&gt;"",Setup!$I$4-J120&gt;Setup!$I$8),"Contact may be stale",""))))))))))</f>
        <v/>
      </c>
    </row>
    <row r="121" ht="22" customHeight="1">
      <c r="A121" s="13" t="n"/>
      <c r="B121" s="14" t="n"/>
      <c r="C121" s="15" t="n"/>
      <c r="D121" s="14" t="n"/>
      <c r="E121" s="14" t="n"/>
      <c r="F121" s="14" t="n"/>
      <c r="G121" s="14" t="n"/>
      <c r="H121" s="15" t="n"/>
      <c r="I121" s="13" t="n"/>
      <c r="J121" s="14" t="n"/>
      <c r="K121" s="15" t="n"/>
      <c r="L121" s="14" t="n"/>
      <c r="M121" s="16">
        <f>IF(OR(D121="",E121=""),"",12*(YEAR(E121)-YEAR(D121))+MONTH(E121)-MONTH(D121)-IF(DAY(E121)&lt;DAY(D121),1,0))</f>
        <v/>
      </c>
      <c r="N121" s="17">
        <f>IF(M121="","",IFERROR(IF(M121&lt;=VLOOKUP(M121,Setup!$A$4:$C$7,3,TRUE),VLOOKUP(M121,Setup!$A$4:$C$7,2,TRUE),"Outside configured ranges"),"Outside configured ranges"))</f>
        <v/>
      </c>
      <c r="O121" s="16">
        <f>IF(OR(B121="",B121&gt;Setup!$I$4),"",Setup!$I$4-B121)</f>
        <v/>
      </c>
      <c r="P121" s="16">
        <f>IF(G121="","",G121-Setup!$I$4)</f>
        <v/>
      </c>
      <c r="Q121" s="27">
        <f>IF(K121="","",IFERROR(VLOOKUP(K121,Setup!$E$4:$F$9,2,FALSE),""))</f>
        <v/>
      </c>
      <c r="R121" s="17">
        <f>IF(A121="","",IF(OR(B121="",C121="",D121="",E121="",F121="",G121="",H121="",I121="",K121=""),"Incomplete",IF(COUNTIF(Setup!$K$4:$K$8,I121)=0,"Invalid status",IF(COUNTIF(Setup!$L$4:$L$8,H121)=0,"Invalid schedule",IF(COUNTIF(Setup!$E$4:$E$9,K121)=0,"Invalid contact outcome",IF(I121&lt;&gt;"Active","Not active",IF(B121&gt;Setup!$I$4,"Future waitlist date",IF(D121&gt;E121,"Invalid age/date",IF(F121&gt;G121,"Invalid window",IF(OR(E121&lt;F121,E121&gt;G121),"Preferred date outside window",IF(G121&lt;Setup!$I$4,"Window expired",IF(OR(M121="",N121="Outside configured ranges"),"Outside age bands","Ready"))))))))))))</f>
        <v/>
      </c>
      <c r="S121" s="27">
        <f>IF(R121&lt;&gt;"Ready","",ROUND(O121*Setup!$I$5+MAX(0,Setup!$I$6-MAX(0,P121))*Setup!$I$7+Q121,1))</f>
        <v/>
      </c>
      <c r="T121" s="16">
        <f>IF(S121="","",1+COUNTIFS($R$2:$R$201,"Ready",$N$2:$N$201,N121,$S$2:$S$201,"&gt;"&amp;S121)+COUNTIFS($R$2:$R$201,"Ready",$N$2:$N$201,N121,$S$2:$S$201,"="&amp;S121,$B$2:$B$201,"&lt;"&amp;B121)+COUNTIFS($R$2:$R$201,"Ready",$N$2:$N$201,N121,$S$2:$S$201,"="&amp;S121,$B$2:$B$201,"="&amp;B121,$A$2:$A$201,"&lt;"&amp;A121))</f>
        <v/>
      </c>
      <c r="U121" s="17">
        <f>IF(A121="","",IF(R121&lt;&gt;"Ready",R121,IF(AND(K121="Not Contacted",J121&lt;&gt;""),"Clear last contact date or update outcome",IF(AND(K121&lt;&gt;"Not Contacted",J121=""),"Add last contact date",IF(AND(J121&lt;&gt;"",J121&gt;Setup!$I$4),"Last contact is after review date",IF(K121="Declined","Align status with declined outcome",IF(AND(L121&lt;&gt;"",L121&gt;G121),"Follow-up is after latest start",IF(AND(L121&lt;&gt;"",L121&lt;Setup!$I$4),"Follow-up overdue",IF(AND(L121&lt;&gt;"",L121&lt;=Setup!$I$4+Setup!$I$9),"Follow-up due soon",IF(AND(J121&lt;&gt;"",Setup!$I$4-J121&gt;Setup!$I$8),"Contact may be stale",""))))))))))</f>
        <v/>
      </c>
    </row>
    <row r="122" ht="22" customHeight="1">
      <c r="A122" s="13" t="n"/>
      <c r="B122" s="14" t="n"/>
      <c r="C122" s="15" t="n"/>
      <c r="D122" s="14" t="n"/>
      <c r="E122" s="14" t="n"/>
      <c r="F122" s="14" t="n"/>
      <c r="G122" s="14" t="n"/>
      <c r="H122" s="15" t="n"/>
      <c r="I122" s="13" t="n"/>
      <c r="J122" s="14" t="n"/>
      <c r="K122" s="15" t="n"/>
      <c r="L122" s="14" t="n"/>
      <c r="M122" s="16">
        <f>IF(OR(D122="",E122=""),"",12*(YEAR(E122)-YEAR(D122))+MONTH(E122)-MONTH(D122)-IF(DAY(E122)&lt;DAY(D122),1,0))</f>
        <v/>
      </c>
      <c r="N122" s="17">
        <f>IF(M122="","",IFERROR(IF(M122&lt;=VLOOKUP(M122,Setup!$A$4:$C$7,3,TRUE),VLOOKUP(M122,Setup!$A$4:$C$7,2,TRUE),"Outside configured ranges"),"Outside configured ranges"))</f>
        <v/>
      </c>
      <c r="O122" s="16">
        <f>IF(OR(B122="",B122&gt;Setup!$I$4),"",Setup!$I$4-B122)</f>
        <v/>
      </c>
      <c r="P122" s="16">
        <f>IF(G122="","",G122-Setup!$I$4)</f>
        <v/>
      </c>
      <c r="Q122" s="27">
        <f>IF(K122="","",IFERROR(VLOOKUP(K122,Setup!$E$4:$F$9,2,FALSE),""))</f>
        <v/>
      </c>
      <c r="R122" s="17">
        <f>IF(A122="","",IF(OR(B122="",C122="",D122="",E122="",F122="",G122="",H122="",I122="",K122=""),"Incomplete",IF(COUNTIF(Setup!$K$4:$K$8,I122)=0,"Invalid status",IF(COUNTIF(Setup!$L$4:$L$8,H122)=0,"Invalid schedule",IF(COUNTIF(Setup!$E$4:$E$9,K122)=0,"Invalid contact outcome",IF(I122&lt;&gt;"Active","Not active",IF(B122&gt;Setup!$I$4,"Future waitlist date",IF(D122&gt;E122,"Invalid age/date",IF(F122&gt;G122,"Invalid window",IF(OR(E122&lt;F122,E122&gt;G122),"Preferred date outside window",IF(G122&lt;Setup!$I$4,"Window expired",IF(OR(M122="",N122="Outside configured ranges"),"Outside age bands","Ready"))))))))))))</f>
        <v/>
      </c>
      <c r="S122" s="27">
        <f>IF(R122&lt;&gt;"Ready","",ROUND(O122*Setup!$I$5+MAX(0,Setup!$I$6-MAX(0,P122))*Setup!$I$7+Q122,1))</f>
        <v/>
      </c>
      <c r="T122" s="16">
        <f>IF(S122="","",1+COUNTIFS($R$2:$R$201,"Ready",$N$2:$N$201,N122,$S$2:$S$201,"&gt;"&amp;S122)+COUNTIFS($R$2:$R$201,"Ready",$N$2:$N$201,N122,$S$2:$S$201,"="&amp;S122,$B$2:$B$201,"&lt;"&amp;B122)+COUNTIFS($R$2:$R$201,"Ready",$N$2:$N$201,N122,$S$2:$S$201,"="&amp;S122,$B$2:$B$201,"="&amp;B122,$A$2:$A$201,"&lt;"&amp;A122))</f>
        <v/>
      </c>
      <c r="U122" s="17">
        <f>IF(A122="","",IF(R122&lt;&gt;"Ready",R122,IF(AND(K122="Not Contacted",J122&lt;&gt;""),"Clear last contact date or update outcome",IF(AND(K122&lt;&gt;"Not Contacted",J122=""),"Add last contact date",IF(AND(J122&lt;&gt;"",J122&gt;Setup!$I$4),"Last contact is after review date",IF(K122="Declined","Align status with declined outcome",IF(AND(L122&lt;&gt;"",L122&gt;G122),"Follow-up is after latest start",IF(AND(L122&lt;&gt;"",L122&lt;Setup!$I$4),"Follow-up overdue",IF(AND(L122&lt;&gt;"",L122&lt;=Setup!$I$4+Setup!$I$9),"Follow-up due soon",IF(AND(J122&lt;&gt;"",Setup!$I$4-J122&gt;Setup!$I$8),"Contact may be stale",""))))))))))</f>
        <v/>
      </c>
    </row>
    <row r="123" ht="22" customHeight="1">
      <c r="A123" s="13" t="n"/>
      <c r="B123" s="14" t="n"/>
      <c r="C123" s="15" t="n"/>
      <c r="D123" s="14" t="n"/>
      <c r="E123" s="14" t="n"/>
      <c r="F123" s="14" t="n"/>
      <c r="G123" s="14" t="n"/>
      <c r="H123" s="15" t="n"/>
      <c r="I123" s="13" t="n"/>
      <c r="J123" s="14" t="n"/>
      <c r="K123" s="15" t="n"/>
      <c r="L123" s="14" t="n"/>
      <c r="M123" s="16">
        <f>IF(OR(D123="",E123=""),"",12*(YEAR(E123)-YEAR(D123))+MONTH(E123)-MONTH(D123)-IF(DAY(E123)&lt;DAY(D123),1,0))</f>
        <v/>
      </c>
      <c r="N123" s="17">
        <f>IF(M123="","",IFERROR(IF(M123&lt;=VLOOKUP(M123,Setup!$A$4:$C$7,3,TRUE),VLOOKUP(M123,Setup!$A$4:$C$7,2,TRUE),"Outside configured ranges"),"Outside configured ranges"))</f>
        <v/>
      </c>
      <c r="O123" s="16">
        <f>IF(OR(B123="",B123&gt;Setup!$I$4),"",Setup!$I$4-B123)</f>
        <v/>
      </c>
      <c r="P123" s="16">
        <f>IF(G123="","",G123-Setup!$I$4)</f>
        <v/>
      </c>
      <c r="Q123" s="27">
        <f>IF(K123="","",IFERROR(VLOOKUP(K123,Setup!$E$4:$F$9,2,FALSE),""))</f>
        <v/>
      </c>
      <c r="R123" s="17">
        <f>IF(A123="","",IF(OR(B123="",C123="",D123="",E123="",F123="",G123="",H123="",I123="",K123=""),"Incomplete",IF(COUNTIF(Setup!$K$4:$K$8,I123)=0,"Invalid status",IF(COUNTIF(Setup!$L$4:$L$8,H123)=0,"Invalid schedule",IF(COUNTIF(Setup!$E$4:$E$9,K123)=0,"Invalid contact outcome",IF(I123&lt;&gt;"Active","Not active",IF(B123&gt;Setup!$I$4,"Future waitlist date",IF(D123&gt;E123,"Invalid age/date",IF(F123&gt;G123,"Invalid window",IF(OR(E123&lt;F123,E123&gt;G123),"Preferred date outside window",IF(G123&lt;Setup!$I$4,"Window expired",IF(OR(M123="",N123="Outside configured ranges"),"Outside age bands","Ready"))))))))))))</f>
        <v/>
      </c>
      <c r="S123" s="27">
        <f>IF(R123&lt;&gt;"Ready","",ROUND(O123*Setup!$I$5+MAX(0,Setup!$I$6-MAX(0,P123))*Setup!$I$7+Q123,1))</f>
        <v/>
      </c>
      <c r="T123" s="16">
        <f>IF(S123="","",1+COUNTIFS($R$2:$R$201,"Ready",$N$2:$N$201,N123,$S$2:$S$201,"&gt;"&amp;S123)+COUNTIFS($R$2:$R$201,"Ready",$N$2:$N$201,N123,$S$2:$S$201,"="&amp;S123,$B$2:$B$201,"&lt;"&amp;B123)+COUNTIFS($R$2:$R$201,"Ready",$N$2:$N$201,N123,$S$2:$S$201,"="&amp;S123,$B$2:$B$201,"="&amp;B123,$A$2:$A$201,"&lt;"&amp;A123))</f>
        <v/>
      </c>
      <c r="U123" s="17">
        <f>IF(A123="","",IF(R123&lt;&gt;"Ready",R123,IF(AND(K123="Not Contacted",J123&lt;&gt;""),"Clear last contact date or update outcome",IF(AND(K123&lt;&gt;"Not Contacted",J123=""),"Add last contact date",IF(AND(J123&lt;&gt;"",J123&gt;Setup!$I$4),"Last contact is after review date",IF(K123="Declined","Align status with declined outcome",IF(AND(L123&lt;&gt;"",L123&gt;G123),"Follow-up is after latest start",IF(AND(L123&lt;&gt;"",L123&lt;Setup!$I$4),"Follow-up overdue",IF(AND(L123&lt;&gt;"",L123&lt;=Setup!$I$4+Setup!$I$9),"Follow-up due soon",IF(AND(J123&lt;&gt;"",Setup!$I$4-J123&gt;Setup!$I$8),"Contact may be stale",""))))))))))</f>
        <v/>
      </c>
    </row>
    <row r="124" ht="22" customHeight="1">
      <c r="A124" s="13" t="n"/>
      <c r="B124" s="14" t="n"/>
      <c r="C124" s="15" t="n"/>
      <c r="D124" s="14" t="n"/>
      <c r="E124" s="14" t="n"/>
      <c r="F124" s="14" t="n"/>
      <c r="G124" s="14" t="n"/>
      <c r="H124" s="15" t="n"/>
      <c r="I124" s="13" t="n"/>
      <c r="J124" s="14" t="n"/>
      <c r="K124" s="15" t="n"/>
      <c r="L124" s="14" t="n"/>
      <c r="M124" s="16">
        <f>IF(OR(D124="",E124=""),"",12*(YEAR(E124)-YEAR(D124))+MONTH(E124)-MONTH(D124)-IF(DAY(E124)&lt;DAY(D124),1,0))</f>
        <v/>
      </c>
      <c r="N124" s="17">
        <f>IF(M124="","",IFERROR(IF(M124&lt;=VLOOKUP(M124,Setup!$A$4:$C$7,3,TRUE),VLOOKUP(M124,Setup!$A$4:$C$7,2,TRUE),"Outside configured ranges"),"Outside configured ranges"))</f>
        <v/>
      </c>
      <c r="O124" s="16">
        <f>IF(OR(B124="",B124&gt;Setup!$I$4),"",Setup!$I$4-B124)</f>
        <v/>
      </c>
      <c r="P124" s="16">
        <f>IF(G124="","",G124-Setup!$I$4)</f>
        <v/>
      </c>
      <c r="Q124" s="27">
        <f>IF(K124="","",IFERROR(VLOOKUP(K124,Setup!$E$4:$F$9,2,FALSE),""))</f>
        <v/>
      </c>
      <c r="R124" s="17">
        <f>IF(A124="","",IF(OR(B124="",C124="",D124="",E124="",F124="",G124="",H124="",I124="",K124=""),"Incomplete",IF(COUNTIF(Setup!$K$4:$K$8,I124)=0,"Invalid status",IF(COUNTIF(Setup!$L$4:$L$8,H124)=0,"Invalid schedule",IF(COUNTIF(Setup!$E$4:$E$9,K124)=0,"Invalid contact outcome",IF(I124&lt;&gt;"Active","Not active",IF(B124&gt;Setup!$I$4,"Future waitlist date",IF(D124&gt;E124,"Invalid age/date",IF(F124&gt;G124,"Invalid window",IF(OR(E124&lt;F124,E124&gt;G124),"Preferred date outside window",IF(G124&lt;Setup!$I$4,"Window expired",IF(OR(M124="",N124="Outside configured ranges"),"Outside age bands","Ready"))))))))))))</f>
        <v/>
      </c>
      <c r="S124" s="27">
        <f>IF(R124&lt;&gt;"Ready","",ROUND(O124*Setup!$I$5+MAX(0,Setup!$I$6-MAX(0,P124))*Setup!$I$7+Q124,1))</f>
        <v/>
      </c>
      <c r="T124" s="16">
        <f>IF(S124="","",1+COUNTIFS($R$2:$R$201,"Ready",$N$2:$N$201,N124,$S$2:$S$201,"&gt;"&amp;S124)+COUNTIFS($R$2:$R$201,"Ready",$N$2:$N$201,N124,$S$2:$S$201,"="&amp;S124,$B$2:$B$201,"&lt;"&amp;B124)+COUNTIFS($R$2:$R$201,"Ready",$N$2:$N$201,N124,$S$2:$S$201,"="&amp;S124,$B$2:$B$201,"="&amp;B124,$A$2:$A$201,"&lt;"&amp;A124))</f>
        <v/>
      </c>
      <c r="U124" s="17">
        <f>IF(A124="","",IF(R124&lt;&gt;"Ready",R124,IF(AND(K124="Not Contacted",J124&lt;&gt;""),"Clear last contact date or update outcome",IF(AND(K124&lt;&gt;"Not Contacted",J124=""),"Add last contact date",IF(AND(J124&lt;&gt;"",J124&gt;Setup!$I$4),"Last contact is after review date",IF(K124="Declined","Align status with declined outcome",IF(AND(L124&lt;&gt;"",L124&gt;G124),"Follow-up is after latest start",IF(AND(L124&lt;&gt;"",L124&lt;Setup!$I$4),"Follow-up overdue",IF(AND(L124&lt;&gt;"",L124&lt;=Setup!$I$4+Setup!$I$9),"Follow-up due soon",IF(AND(J124&lt;&gt;"",Setup!$I$4-J124&gt;Setup!$I$8),"Contact may be stale",""))))))))))</f>
        <v/>
      </c>
    </row>
    <row r="125" ht="22" customHeight="1">
      <c r="A125" s="13" t="n"/>
      <c r="B125" s="14" t="n"/>
      <c r="C125" s="15" t="n"/>
      <c r="D125" s="14" t="n"/>
      <c r="E125" s="14" t="n"/>
      <c r="F125" s="14" t="n"/>
      <c r="G125" s="14" t="n"/>
      <c r="H125" s="15" t="n"/>
      <c r="I125" s="13" t="n"/>
      <c r="J125" s="14" t="n"/>
      <c r="K125" s="15" t="n"/>
      <c r="L125" s="14" t="n"/>
      <c r="M125" s="16">
        <f>IF(OR(D125="",E125=""),"",12*(YEAR(E125)-YEAR(D125))+MONTH(E125)-MONTH(D125)-IF(DAY(E125)&lt;DAY(D125),1,0))</f>
        <v/>
      </c>
      <c r="N125" s="17">
        <f>IF(M125="","",IFERROR(IF(M125&lt;=VLOOKUP(M125,Setup!$A$4:$C$7,3,TRUE),VLOOKUP(M125,Setup!$A$4:$C$7,2,TRUE),"Outside configured ranges"),"Outside configured ranges"))</f>
        <v/>
      </c>
      <c r="O125" s="16">
        <f>IF(OR(B125="",B125&gt;Setup!$I$4),"",Setup!$I$4-B125)</f>
        <v/>
      </c>
      <c r="P125" s="16">
        <f>IF(G125="","",G125-Setup!$I$4)</f>
        <v/>
      </c>
      <c r="Q125" s="27">
        <f>IF(K125="","",IFERROR(VLOOKUP(K125,Setup!$E$4:$F$9,2,FALSE),""))</f>
        <v/>
      </c>
      <c r="R125" s="17">
        <f>IF(A125="","",IF(OR(B125="",C125="",D125="",E125="",F125="",G125="",H125="",I125="",K125=""),"Incomplete",IF(COUNTIF(Setup!$K$4:$K$8,I125)=0,"Invalid status",IF(COUNTIF(Setup!$L$4:$L$8,H125)=0,"Invalid schedule",IF(COUNTIF(Setup!$E$4:$E$9,K125)=0,"Invalid contact outcome",IF(I125&lt;&gt;"Active","Not active",IF(B125&gt;Setup!$I$4,"Future waitlist date",IF(D125&gt;E125,"Invalid age/date",IF(F125&gt;G125,"Invalid window",IF(OR(E125&lt;F125,E125&gt;G125),"Preferred date outside window",IF(G125&lt;Setup!$I$4,"Window expired",IF(OR(M125="",N125="Outside configured ranges"),"Outside age bands","Ready"))))))))))))</f>
        <v/>
      </c>
      <c r="S125" s="27">
        <f>IF(R125&lt;&gt;"Ready","",ROUND(O125*Setup!$I$5+MAX(0,Setup!$I$6-MAX(0,P125))*Setup!$I$7+Q125,1))</f>
        <v/>
      </c>
      <c r="T125" s="16">
        <f>IF(S125="","",1+COUNTIFS($R$2:$R$201,"Ready",$N$2:$N$201,N125,$S$2:$S$201,"&gt;"&amp;S125)+COUNTIFS($R$2:$R$201,"Ready",$N$2:$N$201,N125,$S$2:$S$201,"="&amp;S125,$B$2:$B$201,"&lt;"&amp;B125)+COUNTIFS($R$2:$R$201,"Ready",$N$2:$N$201,N125,$S$2:$S$201,"="&amp;S125,$B$2:$B$201,"="&amp;B125,$A$2:$A$201,"&lt;"&amp;A125))</f>
        <v/>
      </c>
      <c r="U125" s="17">
        <f>IF(A125="","",IF(R125&lt;&gt;"Ready",R125,IF(AND(K125="Not Contacted",J125&lt;&gt;""),"Clear last contact date or update outcome",IF(AND(K125&lt;&gt;"Not Contacted",J125=""),"Add last contact date",IF(AND(J125&lt;&gt;"",J125&gt;Setup!$I$4),"Last contact is after review date",IF(K125="Declined","Align status with declined outcome",IF(AND(L125&lt;&gt;"",L125&gt;G125),"Follow-up is after latest start",IF(AND(L125&lt;&gt;"",L125&lt;Setup!$I$4),"Follow-up overdue",IF(AND(L125&lt;&gt;"",L125&lt;=Setup!$I$4+Setup!$I$9),"Follow-up due soon",IF(AND(J125&lt;&gt;"",Setup!$I$4-J125&gt;Setup!$I$8),"Contact may be stale",""))))))))))</f>
        <v/>
      </c>
    </row>
    <row r="126" ht="22" customHeight="1">
      <c r="A126" s="13" t="n"/>
      <c r="B126" s="14" t="n"/>
      <c r="C126" s="15" t="n"/>
      <c r="D126" s="14" t="n"/>
      <c r="E126" s="14" t="n"/>
      <c r="F126" s="14" t="n"/>
      <c r="G126" s="14" t="n"/>
      <c r="H126" s="15" t="n"/>
      <c r="I126" s="13" t="n"/>
      <c r="J126" s="14" t="n"/>
      <c r="K126" s="15" t="n"/>
      <c r="L126" s="14" t="n"/>
      <c r="M126" s="16">
        <f>IF(OR(D126="",E126=""),"",12*(YEAR(E126)-YEAR(D126))+MONTH(E126)-MONTH(D126)-IF(DAY(E126)&lt;DAY(D126),1,0))</f>
        <v/>
      </c>
      <c r="N126" s="17">
        <f>IF(M126="","",IFERROR(IF(M126&lt;=VLOOKUP(M126,Setup!$A$4:$C$7,3,TRUE),VLOOKUP(M126,Setup!$A$4:$C$7,2,TRUE),"Outside configured ranges"),"Outside configured ranges"))</f>
        <v/>
      </c>
      <c r="O126" s="16">
        <f>IF(OR(B126="",B126&gt;Setup!$I$4),"",Setup!$I$4-B126)</f>
        <v/>
      </c>
      <c r="P126" s="16">
        <f>IF(G126="","",G126-Setup!$I$4)</f>
        <v/>
      </c>
      <c r="Q126" s="27">
        <f>IF(K126="","",IFERROR(VLOOKUP(K126,Setup!$E$4:$F$9,2,FALSE),""))</f>
        <v/>
      </c>
      <c r="R126" s="17">
        <f>IF(A126="","",IF(OR(B126="",C126="",D126="",E126="",F126="",G126="",H126="",I126="",K126=""),"Incomplete",IF(COUNTIF(Setup!$K$4:$K$8,I126)=0,"Invalid status",IF(COUNTIF(Setup!$L$4:$L$8,H126)=0,"Invalid schedule",IF(COUNTIF(Setup!$E$4:$E$9,K126)=0,"Invalid contact outcome",IF(I126&lt;&gt;"Active","Not active",IF(B126&gt;Setup!$I$4,"Future waitlist date",IF(D126&gt;E126,"Invalid age/date",IF(F126&gt;G126,"Invalid window",IF(OR(E126&lt;F126,E126&gt;G126),"Preferred date outside window",IF(G126&lt;Setup!$I$4,"Window expired",IF(OR(M126="",N126="Outside configured ranges"),"Outside age bands","Ready"))))))))))))</f>
        <v/>
      </c>
      <c r="S126" s="27">
        <f>IF(R126&lt;&gt;"Ready","",ROUND(O126*Setup!$I$5+MAX(0,Setup!$I$6-MAX(0,P126))*Setup!$I$7+Q126,1))</f>
        <v/>
      </c>
      <c r="T126" s="16">
        <f>IF(S126="","",1+COUNTIFS($R$2:$R$201,"Ready",$N$2:$N$201,N126,$S$2:$S$201,"&gt;"&amp;S126)+COUNTIFS($R$2:$R$201,"Ready",$N$2:$N$201,N126,$S$2:$S$201,"="&amp;S126,$B$2:$B$201,"&lt;"&amp;B126)+COUNTIFS($R$2:$R$201,"Ready",$N$2:$N$201,N126,$S$2:$S$201,"="&amp;S126,$B$2:$B$201,"="&amp;B126,$A$2:$A$201,"&lt;"&amp;A126))</f>
        <v/>
      </c>
      <c r="U126" s="17">
        <f>IF(A126="","",IF(R126&lt;&gt;"Ready",R126,IF(AND(K126="Not Contacted",J126&lt;&gt;""),"Clear last contact date or update outcome",IF(AND(K126&lt;&gt;"Not Contacted",J126=""),"Add last contact date",IF(AND(J126&lt;&gt;"",J126&gt;Setup!$I$4),"Last contact is after review date",IF(K126="Declined","Align status with declined outcome",IF(AND(L126&lt;&gt;"",L126&gt;G126),"Follow-up is after latest start",IF(AND(L126&lt;&gt;"",L126&lt;Setup!$I$4),"Follow-up overdue",IF(AND(L126&lt;&gt;"",L126&lt;=Setup!$I$4+Setup!$I$9),"Follow-up due soon",IF(AND(J126&lt;&gt;"",Setup!$I$4-J126&gt;Setup!$I$8),"Contact may be stale",""))))))))))</f>
        <v/>
      </c>
    </row>
    <row r="127" ht="22" customHeight="1">
      <c r="A127" s="13" t="n"/>
      <c r="B127" s="14" t="n"/>
      <c r="C127" s="15" t="n"/>
      <c r="D127" s="14" t="n"/>
      <c r="E127" s="14" t="n"/>
      <c r="F127" s="14" t="n"/>
      <c r="G127" s="14" t="n"/>
      <c r="H127" s="15" t="n"/>
      <c r="I127" s="13" t="n"/>
      <c r="J127" s="14" t="n"/>
      <c r="K127" s="15" t="n"/>
      <c r="L127" s="14" t="n"/>
      <c r="M127" s="16">
        <f>IF(OR(D127="",E127=""),"",12*(YEAR(E127)-YEAR(D127))+MONTH(E127)-MONTH(D127)-IF(DAY(E127)&lt;DAY(D127),1,0))</f>
        <v/>
      </c>
      <c r="N127" s="17">
        <f>IF(M127="","",IFERROR(IF(M127&lt;=VLOOKUP(M127,Setup!$A$4:$C$7,3,TRUE),VLOOKUP(M127,Setup!$A$4:$C$7,2,TRUE),"Outside configured ranges"),"Outside configured ranges"))</f>
        <v/>
      </c>
      <c r="O127" s="16">
        <f>IF(OR(B127="",B127&gt;Setup!$I$4),"",Setup!$I$4-B127)</f>
        <v/>
      </c>
      <c r="P127" s="16">
        <f>IF(G127="","",G127-Setup!$I$4)</f>
        <v/>
      </c>
      <c r="Q127" s="27">
        <f>IF(K127="","",IFERROR(VLOOKUP(K127,Setup!$E$4:$F$9,2,FALSE),""))</f>
        <v/>
      </c>
      <c r="R127" s="17">
        <f>IF(A127="","",IF(OR(B127="",C127="",D127="",E127="",F127="",G127="",H127="",I127="",K127=""),"Incomplete",IF(COUNTIF(Setup!$K$4:$K$8,I127)=0,"Invalid status",IF(COUNTIF(Setup!$L$4:$L$8,H127)=0,"Invalid schedule",IF(COUNTIF(Setup!$E$4:$E$9,K127)=0,"Invalid contact outcome",IF(I127&lt;&gt;"Active","Not active",IF(B127&gt;Setup!$I$4,"Future waitlist date",IF(D127&gt;E127,"Invalid age/date",IF(F127&gt;G127,"Invalid window",IF(OR(E127&lt;F127,E127&gt;G127),"Preferred date outside window",IF(G127&lt;Setup!$I$4,"Window expired",IF(OR(M127="",N127="Outside configured ranges"),"Outside age bands","Ready"))))))))))))</f>
        <v/>
      </c>
      <c r="S127" s="27">
        <f>IF(R127&lt;&gt;"Ready","",ROUND(O127*Setup!$I$5+MAX(0,Setup!$I$6-MAX(0,P127))*Setup!$I$7+Q127,1))</f>
        <v/>
      </c>
      <c r="T127" s="16">
        <f>IF(S127="","",1+COUNTIFS($R$2:$R$201,"Ready",$N$2:$N$201,N127,$S$2:$S$201,"&gt;"&amp;S127)+COUNTIFS($R$2:$R$201,"Ready",$N$2:$N$201,N127,$S$2:$S$201,"="&amp;S127,$B$2:$B$201,"&lt;"&amp;B127)+COUNTIFS($R$2:$R$201,"Ready",$N$2:$N$201,N127,$S$2:$S$201,"="&amp;S127,$B$2:$B$201,"="&amp;B127,$A$2:$A$201,"&lt;"&amp;A127))</f>
        <v/>
      </c>
      <c r="U127" s="17">
        <f>IF(A127="","",IF(R127&lt;&gt;"Ready",R127,IF(AND(K127="Not Contacted",J127&lt;&gt;""),"Clear last contact date or update outcome",IF(AND(K127&lt;&gt;"Not Contacted",J127=""),"Add last contact date",IF(AND(J127&lt;&gt;"",J127&gt;Setup!$I$4),"Last contact is after review date",IF(K127="Declined","Align status with declined outcome",IF(AND(L127&lt;&gt;"",L127&gt;G127),"Follow-up is after latest start",IF(AND(L127&lt;&gt;"",L127&lt;Setup!$I$4),"Follow-up overdue",IF(AND(L127&lt;&gt;"",L127&lt;=Setup!$I$4+Setup!$I$9),"Follow-up due soon",IF(AND(J127&lt;&gt;"",Setup!$I$4-J127&gt;Setup!$I$8),"Contact may be stale",""))))))))))</f>
        <v/>
      </c>
    </row>
    <row r="128" ht="22" customHeight="1">
      <c r="A128" s="13" t="n"/>
      <c r="B128" s="14" t="n"/>
      <c r="C128" s="15" t="n"/>
      <c r="D128" s="14" t="n"/>
      <c r="E128" s="14" t="n"/>
      <c r="F128" s="14" t="n"/>
      <c r="G128" s="14" t="n"/>
      <c r="H128" s="15" t="n"/>
      <c r="I128" s="13" t="n"/>
      <c r="J128" s="14" t="n"/>
      <c r="K128" s="15" t="n"/>
      <c r="L128" s="14" t="n"/>
      <c r="M128" s="16">
        <f>IF(OR(D128="",E128=""),"",12*(YEAR(E128)-YEAR(D128))+MONTH(E128)-MONTH(D128)-IF(DAY(E128)&lt;DAY(D128),1,0))</f>
        <v/>
      </c>
      <c r="N128" s="17">
        <f>IF(M128="","",IFERROR(IF(M128&lt;=VLOOKUP(M128,Setup!$A$4:$C$7,3,TRUE),VLOOKUP(M128,Setup!$A$4:$C$7,2,TRUE),"Outside configured ranges"),"Outside configured ranges"))</f>
        <v/>
      </c>
      <c r="O128" s="16">
        <f>IF(OR(B128="",B128&gt;Setup!$I$4),"",Setup!$I$4-B128)</f>
        <v/>
      </c>
      <c r="P128" s="16">
        <f>IF(G128="","",G128-Setup!$I$4)</f>
        <v/>
      </c>
      <c r="Q128" s="27">
        <f>IF(K128="","",IFERROR(VLOOKUP(K128,Setup!$E$4:$F$9,2,FALSE),""))</f>
        <v/>
      </c>
      <c r="R128" s="17">
        <f>IF(A128="","",IF(OR(B128="",C128="",D128="",E128="",F128="",G128="",H128="",I128="",K128=""),"Incomplete",IF(COUNTIF(Setup!$K$4:$K$8,I128)=0,"Invalid status",IF(COUNTIF(Setup!$L$4:$L$8,H128)=0,"Invalid schedule",IF(COUNTIF(Setup!$E$4:$E$9,K128)=0,"Invalid contact outcome",IF(I128&lt;&gt;"Active","Not active",IF(B128&gt;Setup!$I$4,"Future waitlist date",IF(D128&gt;E128,"Invalid age/date",IF(F128&gt;G128,"Invalid window",IF(OR(E128&lt;F128,E128&gt;G128),"Preferred date outside window",IF(G128&lt;Setup!$I$4,"Window expired",IF(OR(M128="",N128="Outside configured ranges"),"Outside age bands","Ready"))))))))))))</f>
        <v/>
      </c>
      <c r="S128" s="27">
        <f>IF(R128&lt;&gt;"Ready","",ROUND(O128*Setup!$I$5+MAX(0,Setup!$I$6-MAX(0,P128))*Setup!$I$7+Q128,1))</f>
        <v/>
      </c>
      <c r="T128" s="16">
        <f>IF(S128="","",1+COUNTIFS($R$2:$R$201,"Ready",$N$2:$N$201,N128,$S$2:$S$201,"&gt;"&amp;S128)+COUNTIFS($R$2:$R$201,"Ready",$N$2:$N$201,N128,$S$2:$S$201,"="&amp;S128,$B$2:$B$201,"&lt;"&amp;B128)+COUNTIFS($R$2:$R$201,"Ready",$N$2:$N$201,N128,$S$2:$S$201,"="&amp;S128,$B$2:$B$201,"="&amp;B128,$A$2:$A$201,"&lt;"&amp;A128))</f>
        <v/>
      </c>
      <c r="U128" s="17">
        <f>IF(A128="","",IF(R128&lt;&gt;"Ready",R128,IF(AND(K128="Not Contacted",J128&lt;&gt;""),"Clear last contact date or update outcome",IF(AND(K128&lt;&gt;"Not Contacted",J128=""),"Add last contact date",IF(AND(J128&lt;&gt;"",J128&gt;Setup!$I$4),"Last contact is after review date",IF(K128="Declined","Align status with declined outcome",IF(AND(L128&lt;&gt;"",L128&gt;G128),"Follow-up is after latest start",IF(AND(L128&lt;&gt;"",L128&lt;Setup!$I$4),"Follow-up overdue",IF(AND(L128&lt;&gt;"",L128&lt;=Setup!$I$4+Setup!$I$9),"Follow-up due soon",IF(AND(J128&lt;&gt;"",Setup!$I$4-J128&gt;Setup!$I$8),"Contact may be stale",""))))))))))</f>
        <v/>
      </c>
    </row>
    <row r="129" ht="22" customHeight="1">
      <c r="A129" s="13" t="n"/>
      <c r="B129" s="14" t="n"/>
      <c r="C129" s="15" t="n"/>
      <c r="D129" s="14" t="n"/>
      <c r="E129" s="14" t="n"/>
      <c r="F129" s="14" t="n"/>
      <c r="G129" s="14" t="n"/>
      <c r="H129" s="15" t="n"/>
      <c r="I129" s="13" t="n"/>
      <c r="J129" s="14" t="n"/>
      <c r="K129" s="15" t="n"/>
      <c r="L129" s="14" t="n"/>
      <c r="M129" s="16">
        <f>IF(OR(D129="",E129=""),"",12*(YEAR(E129)-YEAR(D129))+MONTH(E129)-MONTH(D129)-IF(DAY(E129)&lt;DAY(D129),1,0))</f>
        <v/>
      </c>
      <c r="N129" s="17">
        <f>IF(M129="","",IFERROR(IF(M129&lt;=VLOOKUP(M129,Setup!$A$4:$C$7,3,TRUE),VLOOKUP(M129,Setup!$A$4:$C$7,2,TRUE),"Outside configured ranges"),"Outside configured ranges"))</f>
        <v/>
      </c>
      <c r="O129" s="16">
        <f>IF(OR(B129="",B129&gt;Setup!$I$4),"",Setup!$I$4-B129)</f>
        <v/>
      </c>
      <c r="P129" s="16">
        <f>IF(G129="","",G129-Setup!$I$4)</f>
        <v/>
      </c>
      <c r="Q129" s="27">
        <f>IF(K129="","",IFERROR(VLOOKUP(K129,Setup!$E$4:$F$9,2,FALSE),""))</f>
        <v/>
      </c>
      <c r="R129" s="17">
        <f>IF(A129="","",IF(OR(B129="",C129="",D129="",E129="",F129="",G129="",H129="",I129="",K129=""),"Incomplete",IF(COUNTIF(Setup!$K$4:$K$8,I129)=0,"Invalid status",IF(COUNTIF(Setup!$L$4:$L$8,H129)=0,"Invalid schedule",IF(COUNTIF(Setup!$E$4:$E$9,K129)=0,"Invalid contact outcome",IF(I129&lt;&gt;"Active","Not active",IF(B129&gt;Setup!$I$4,"Future waitlist date",IF(D129&gt;E129,"Invalid age/date",IF(F129&gt;G129,"Invalid window",IF(OR(E129&lt;F129,E129&gt;G129),"Preferred date outside window",IF(G129&lt;Setup!$I$4,"Window expired",IF(OR(M129="",N129="Outside configured ranges"),"Outside age bands","Ready"))))))))))))</f>
        <v/>
      </c>
      <c r="S129" s="27">
        <f>IF(R129&lt;&gt;"Ready","",ROUND(O129*Setup!$I$5+MAX(0,Setup!$I$6-MAX(0,P129))*Setup!$I$7+Q129,1))</f>
        <v/>
      </c>
      <c r="T129" s="16">
        <f>IF(S129="","",1+COUNTIFS($R$2:$R$201,"Ready",$N$2:$N$201,N129,$S$2:$S$201,"&gt;"&amp;S129)+COUNTIFS($R$2:$R$201,"Ready",$N$2:$N$201,N129,$S$2:$S$201,"="&amp;S129,$B$2:$B$201,"&lt;"&amp;B129)+COUNTIFS($R$2:$R$201,"Ready",$N$2:$N$201,N129,$S$2:$S$201,"="&amp;S129,$B$2:$B$201,"="&amp;B129,$A$2:$A$201,"&lt;"&amp;A129))</f>
        <v/>
      </c>
      <c r="U129" s="17">
        <f>IF(A129="","",IF(R129&lt;&gt;"Ready",R129,IF(AND(K129="Not Contacted",J129&lt;&gt;""),"Clear last contact date or update outcome",IF(AND(K129&lt;&gt;"Not Contacted",J129=""),"Add last contact date",IF(AND(J129&lt;&gt;"",J129&gt;Setup!$I$4),"Last contact is after review date",IF(K129="Declined","Align status with declined outcome",IF(AND(L129&lt;&gt;"",L129&gt;G129),"Follow-up is after latest start",IF(AND(L129&lt;&gt;"",L129&lt;Setup!$I$4),"Follow-up overdue",IF(AND(L129&lt;&gt;"",L129&lt;=Setup!$I$4+Setup!$I$9),"Follow-up due soon",IF(AND(J129&lt;&gt;"",Setup!$I$4-J129&gt;Setup!$I$8),"Contact may be stale",""))))))))))</f>
        <v/>
      </c>
    </row>
    <row r="130" ht="22" customHeight="1">
      <c r="A130" s="13" t="n"/>
      <c r="B130" s="14" t="n"/>
      <c r="C130" s="15" t="n"/>
      <c r="D130" s="14" t="n"/>
      <c r="E130" s="14" t="n"/>
      <c r="F130" s="14" t="n"/>
      <c r="G130" s="14" t="n"/>
      <c r="H130" s="15" t="n"/>
      <c r="I130" s="13" t="n"/>
      <c r="J130" s="14" t="n"/>
      <c r="K130" s="15" t="n"/>
      <c r="L130" s="14" t="n"/>
      <c r="M130" s="16">
        <f>IF(OR(D130="",E130=""),"",12*(YEAR(E130)-YEAR(D130))+MONTH(E130)-MONTH(D130)-IF(DAY(E130)&lt;DAY(D130),1,0))</f>
        <v/>
      </c>
      <c r="N130" s="17">
        <f>IF(M130="","",IFERROR(IF(M130&lt;=VLOOKUP(M130,Setup!$A$4:$C$7,3,TRUE),VLOOKUP(M130,Setup!$A$4:$C$7,2,TRUE),"Outside configured ranges"),"Outside configured ranges"))</f>
        <v/>
      </c>
      <c r="O130" s="16">
        <f>IF(OR(B130="",B130&gt;Setup!$I$4),"",Setup!$I$4-B130)</f>
        <v/>
      </c>
      <c r="P130" s="16">
        <f>IF(G130="","",G130-Setup!$I$4)</f>
        <v/>
      </c>
      <c r="Q130" s="27">
        <f>IF(K130="","",IFERROR(VLOOKUP(K130,Setup!$E$4:$F$9,2,FALSE),""))</f>
        <v/>
      </c>
      <c r="R130" s="17">
        <f>IF(A130="","",IF(OR(B130="",C130="",D130="",E130="",F130="",G130="",H130="",I130="",K130=""),"Incomplete",IF(COUNTIF(Setup!$K$4:$K$8,I130)=0,"Invalid status",IF(COUNTIF(Setup!$L$4:$L$8,H130)=0,"Invalid schedule",IF(COUNTIF(Setup!$E$4:$E$9,K130)=0,"Invalid contact outcome",IF(I130&lt;&gt;"Active","Not active",IF(B130&gt;Setup!$I$4,"Future waitlist date",IF(D130&gt;E130,"Invalid age/date",IF(F130&gt;G130,"Invalid window",IF(OR(E130&lt;F130,E130&gt;G130),"Preferred date outside window",IF(G130&lt;Setup!$I$4,"Window expired",IF(OR(M130="",N130="Outside configured ranges"),"Outside age bands","Ready"))))))))))))</f>
        <v/>
      </c>
      <c r="S130" s="27">
        <f>IF(R130&lt;&gt;"Ready","",ROUND(O130*Setup!$I$5+MAX(0,Setup!$I$6-MAX(0,P130))*Setup!$I$7+Q130,1))</f>
        <v/>
      </c>
      <c r="T130" s="16">
        <f>IF(S130="","",1+COUNTIFS($R$2:$R$201,"Ready",$N$2:$N$201,N130,$S$2:$S$201,"&gt;"&amp;S130)+COUNTIFS($R$2:$R$201,"Ready",$N$2:$N$201,N130,$S$2:$S$201,"="&amp;S130,$B$2:$B$201,"&lt;"&amp;B130)+COUNTIFS($R$2:$R$201,"Ready",$N$2:$N$201,N130,$S$2:$S$201,"="&amp;S130,$B$2:$B$201,"="&amp;B130,$A$2:$A$201,"&lt;"&amp;A130))</f>
        <v/>
      </c>
      <c r="U130" s="17">
        <f>IF(A130="","",IF(R130&lt;&gt;"Ready",R130,IF(AND(K130="Not Contacted",J130&lt;&gt;""),"Clear last contact date or update outcome",IF(AND(K130&lt;&gt;"Not Contacted",J130=""),"Add last contact date",IF(AND(J130&lt;&gt;"",J130&gt;Setup!$I$4),"Last contact is after review date",IF(K130="Declined","Align status with declined outcome",IF(AND(L130&lt;&gt;"",L130&gt;G130),"Follow-up is after latest start",IF(AND(L130&lt;&gt;"",L130&lt;Setup!$I$4),"Follow-up overdue",IF(AND(L130&lt;&gt;"",L130&lt;=Setup!$I$4+Setup!$I$9),"Follow-up due soon",IF(AND(J130&lt;&gt;"",Setup!$I$4-J130&gt;Setup!$I$8),"Contact may be stale",""))))))))))</f>
        <v/>
      </c>
    </row>
    <row r="131" ht="22" customHeight="1">
      <c r="A131" s="13" t="n"/>
      <c r="B131" s="14" t="n"/>
      <c r="C131" s="15" t="n"/>
      <c r="D131" s="14" t="n"/>
      <c r="E131" s="14" t="n"/>
      <c r="F131" s="14" t="n"/>
      <c r="G131" s="14" t="n"/>
      <c r="H131" s="15" t="n"/>
      <c r="I131" s="13" t="n"/>
      <c r="J131" s="14" t="n"/>
      <c r="K131" s="15" t="n"/>
      <c r="L131" s="14" t="n"/>
      <c r="M131" s="16">
        <f>IF(OR(D131="",E131=""),"",12*(YEAR(E131)-YEAR(D131))+MONTH(E131)-MONTH(D131)-IF(DAY(E131)&lt;DAY(D131),1,0))</f>
        <v/>
      </c>
      <c r="N131" s="17">
        <f>IF(M131="","",IFERROR(IF(M131&lt;=VLOOKUP(M131,Setup!$A$4:$C$7,3,TRUE),VLOOKUP(M131,Setup!$A$4:$C$7,2,TRUE),"Outside configured ranges"),"Outside configured ranges"))</f>
        <v/>
      </c>
      <c r="O131" s="16">
        <f>IF(OR(B131="",B131&gt;Setup!$I$4),"",Setup!$I$4-B131)</f>
        <v/>
      </c>
      <c r="P131" s="16">
        <f>IF(G131="","",G131-Setup!$I$4)</f>
        <v/>
      </c>
      <c r="Q131" s="27">
        <f>IF(K131="","",IFERROR(VLOOKUP(K131,Setup!$E$4:$F$9,2,FALSE),""))</f>
        <v/>
      </c>
      <c r="R131" s="17">
        <f>IF(A131="","",IF(OR(B131="",C131="",D131="",E131="",F131="",G131="",H131="",I131="",K131=""),"Incomplete",IF(COUNTIF(Setup!$K$4:$K$8,I131)=0,"Invalid status",IF(COUNTIF(Setup!$L$4:$L$8,H131)=0,"Invalid schedule",IF(COUNTIF(Setup!$E$4:$E$9,K131)=0,"Invalid contact outcome",IF(I131&lt;&gt;"Active","Not active",IF(B131&gt;Setup!$I$4,"Future waitlist date",IF(D131&gt;E131,"Invalid age/date",IF(F131&gt;G131,"Invalid window",IF(OR(E131&lt;F131,E131&gt;G131),"Preferred date outside window",IF(G131&lt;Setup!$I$4,"Window expired",IF(OR(M131="",N131="Outside configured ranges"),"Outside age bands","Ready"))))))))))))</f>
        <v/>
      </c>
      <c r="S131" s="27">
        <f>IF(R131&lt;&gt;"Ready","",ROUND(O131*Setup!$I$5+MAX(0,Setup!$I$6-MAX(0,P131))*Setup!$I$7+Q131,1))</f>
        <v/>
      </c>
      <c r="T131" s="16">
        <f>IF(S131="","",1+COUNTIFS($R$2:$R$201,"Ready",$N$2:$N$201,N131,$S$2:$S$201,"&gt;"&amp;S131)+COUNTIFS($R$2:$R$201,"Ready",$N$2:$N$201,N131,$S$2:$S$201,"="&amp;S131,$B$2:$B$201,"&lt;"&amp;B131)+COUNTIFS($R$2:$R$201,"Ready",$N$2:$N$201,N131,$S$2:$S$201,"="&amp;S131,$B$2:$B$201,"="&amp;B131,$A$2:$A$201,"&lt;"&amp;A131))</f>
        <v/>
      </c>
      <c r="U131" s="17">
        <f>IF(A131="","",IF(R131&lt;&gt;"Ready",R131,IF(AND(K131="Not Contacted",J131&lt;&gt;""),"Clear last contact date or update outcome",IF(AND(K131&lt;&gt;"Not Contacted",J131=""),"Add last contact date",IF(AND(J131&lt;&gt;"",J131&gt;Setup!$I$4),"Last contact is after review date",IF(K131="Declined","Align status with declined outcome",IF(AND(L131&lt;&gt;"",L131&gt;G131),"Follow-up is after latest start",IF(AND(L131&lt;&gt;"",L131&lt;Setup!$I$4),"Follow-up overdue",IF(AND(L131&lt;&gt;"",L131&lt;=Setup!$I$4+Setup!$I$9),"Follow-up due soon",IF(AND(J131&lt;&gt;"",Setup!$I$4-J131&gt;Setup!$I$8),"Contact may be stale",""))))))))))</f>
        <v/>
      </c>
    </row>
    <row r="132" ht="22" customHeight="1">
      <c r="A132" s="13" t="n"/>
      <c r="B132" s="14" t="n"/>
      <c r="C132" s="15" t="n"/>
      <c r="D132" s="14" t="n"/>
      <c r="E132" s="14" t="n"/>
      <c r="F132" s="14" t="n"/>
      <c r="G132" s="14" t="n"/>
      <c r="H132" s="15" t="n"/>
      <c r="I132" s="13" t="n"/>
      <c r="J132" s="14" t="n"/>
      <c r="K132" s="15" t="n"/>
      <c r="L132" s="14" t="n"/>
      <c r="M132" s="16">
        <f>IF(OR(D132="",E132=""),"",12*(YEAR(E132)-YEAR(D132))+MONTH(E132)-MONTH(D132)-IF(DAY(E132)&lt;DAY(D132),1,0))</f>
        <v/>
      </c>
      <c r="N132" s="17">
        <f>IF(M132="","",IFERROR(IF(M132&lt;=VLOOKUP(M132,Setup!$A$4:$C$7,3,TRUE),VLOOKUP(M132,Setup!$A$4:$C$7,2,TRUE),"Outside configured ranges"),"Outside configured ranges"))</f>
        <v/>
      </c>
      <c r="O132" s="16">
        <f>IF(OR(B132="",B132&gt;Setup!$I$4),"",Setup!$I$4-B132)</f>
        <v/>
      </c>
      <c r="P132" s="16">
        <f>IF(G132="","",G132-Setup!$I$4)</f>
        <v/>
      </c>
      <c r="Q132" s="27">
        <f>IF(K132="","",IFERROR(VLOOKUP(K132,Setup!$E$4:$F$9,2,FALSE),""))</f>
        <v/>
      </c>
      <c r="R132" s="17">
        <f>IF(A132="","",IF(OR(B132="",C132="",D132="",E132="",F132="",G132="",H132="",I132="",K132=""),"Incomplete",IF(COUNTIF(Setup!$K$4:$K$8,I132)=0,"Invalid status",IF(COUNTIF(Setup!$L$4:$L$8,H132)=0,"Invalid schedule",IF(COUNTIF(Setup!$E$4:$E$9,K132)=0,"Invalid contact outcome",IF(I132&lt;&gt;"Active","Not active",IF(B132&gt;Setup!$I$4,"Future waitlist date",IF(D132&gt;E132,"Invalid age/date",IF(F132&gt;G132,"Invalid window",IF(OR(E132&lt;F132,E132&gt;G132),"Preferred date outside window",IF(G132&lt;Setup!$I$4,"Window expired",IF(OR(M132="",N132="Outside configured ranges"),"Outside age bands","Ready"))))))))))))</f>
        <v/>
      </c>
      <c r="S132" s="27">
        <f>IF(R132&lt;&gt;"Ready","",ROUND(O132*Setup!$I$5+MAX(0,Setup!$I$6-MAX(0,P132))*Setup!$I$7+Q132,1))</f>
        <v/>
      </c>
      <c r="T132" s="16">
        <f>IF(S132="","",1+COUNTIFS($R$2:$R$201,"Ready",$N$2:$N$201,N132,$S$2:$S$201,"&gt;"&amp;S132)+COUNTIFS($R$2:$R$201,"Ready",$N$2:$N$201,N132,$S$2:$S$201,"="&amp;S132,$B$2:$B$201,"&lt;"&amp;B132)+COUNTIFS($R$2:$R$201,"Ready",$N$2:$N$201,N132,$S$2:$S$201,"="&amp;S132,$B$2:$B$201,"="&amp;B132,$A$2:$A$201,"&lt;"&amp;A132))</f>
        <v/>
      </c>
      <c r="U132" s="17">
        <f>IF(A132="","",IF(R132&lt;&gt;"Ready",R132,IF(AND(K132="Not Contacted",J132&lt;&gt;""),"Clear last contact date or update outcome",IF(AND(K132&lt;&gt;"Not Contacted",J132=""),"Add last contact date",IF(AND(J132&lt;&gt;"",J132&gt;Setup!$I$4),"Last contact is after review date",IF(K132="Declined","Align status with declined outcome",IF(AND(L132&lt;&gt;"",L132&gt;G132),"Follow-up is after latest start",IF(AND(L132&lt;&gt;"",L132&lt;Setup!$I$4),"Follow-up overdue",IF(AND(L132&lt;&gt;"",L132&lt;=Setup!$I$4+Setup!$I$9),"Follow-up due soon",IF(AND(J132&lt;&gt;"",Setup!$I$4-J132&gt;Setup!$I$8),"Contact may be stale",""))))))))))</f>
        <v/>
      </c>
    </row>
    <row r="133" ht="22" customHeight="1">
      <c r="A133" s="13" t="n"/>
      <c r="B133" s="14" t="n"/>
      <c r="C133" s="15" t="n"/>
      <c r="D133" s="14" t="n"/>
      <c r="E133" s="14" t="n"/>
      <c r="F133" s="14" t="n"/>
      <c r="G133" s="14" t="n"/>
      <c r="H133" s="15" t="n"/>
      <c r="I133" s="13" t="n"/>
      <c r="J133" s="14" t="n"/>
      <c r="K133" s="15" t="n"/>
      <c r="L133" s="14" t="n"/>
      <c r="M133" s="16">
        <f>IF(OR(D133="",E133=""),"",12*(YEAR(E133)-YEAR(D133))+MONTH(E133)-MONTH(D133)-IF(DAY(E133)&lt;DAY(D133),1,0))</f>
        <v/>
      </c>
      <c r="N133" s="17">
        <f>IF(M133="","",IFERROR(IF(M133&lt;=VLOOKUP(M133,Setup!$A$4:$C$7,3,TRUE),VLOOKUP(M133,Setup!$A$4:$C$7,2,TRUE),"Outside configured ranges"),"Outside configured ranges"))</f>
        <v/>
      </c>
      <c r="O133" s="16">
        <f>IF(OR(B133="",B133&gt;Setup!$I$4),"",Setup!$I$4-B133)</f>
        <v/>
      </c>
      <c r="P133" s="16">
        <f>IF(G133="","",G133-Setup!$I$4)</f>
        <v/>
      </c>
      <c r="Q133" s="27">
        <f>IF(K133="","",IFERROR(VLOOKUP(K133,Setup!$E$4:$F$9,2,FALSE),""))</f>
        <v/>
      </c>
      <c r="R133" s="17">
        <f>IF(A133="","",IF(OR(B133="",C133="",D133="",E133="",F133="",G133="",H133="",I133="",K133=""),"Incomplete",IF(COUNTIF(Setup!$K$4:$K$8,I133)=0,"Invalid status",IF(COUNTIF(Setup!$L$4:$L$8,H133)=0,"Invalid schedule",IF(COUNTIF(Setup!$E$4:$E$9,K133)=0,"Invalid contact outcome",IF(I133&lt;&gt;"Active","Not active",IF(B133&gt;Setup!$I$4,"Future waitlist date",IF(D133&gt;E133,"Invalid age/date",IF(F133&gt;G133,"Invalid window",IF(OR(E133&lt;F133,E133&gt;G133),"Preferred date outside window",IF(G133&lt;Setup!$I$4,"Window expired",IF(OR(M133="",N133="Outside configured ranges"),"Outside age bands","Ready"))))))))))))</f>
        <v/>
      </c>
      <c r="S133" s="27">
        <f>IF(R133&lt;&gt;"Ready","",ROUND(O133*Setup!$I$5+MAX(0,Setup!$I$6-MAX(0,P133))*Setup!$I$7+Q133,1))</f>
        <v/>
      </c>
      <c r="T133" s="16">
        <f>IF(S133="","",1+COUNTIFS($R$2:$R$201,"Ready",$N$2:$N$201,N133,$S$2:$S$201,"&gt;"&amp;S133)+COUNTIFS($R$2:$R$201,"Ready",$N$2:$N$201,N133,$S$2:$S$201,"="&amp;S133,$B$2:$B$201,"&lt;"&amp;B133)+COUNTIFS($R$2:$R$201,"Ready",$N$2:$N$201,N133,$S$2:$S$201,"="&amp;S133,$B$2:$B$201,"="&amp;B133,$A$2:$A$201,"&lt;"&amp;A133))</f>
        <v/>
      </c>
      <c r="U133" s="17">
        <f>IF(A133="","",IF(R133&lt;&gt;"Ready",R133,IF(AND(K133="Not Contacted",J133&lt;&gt;""),"Clear last contact date or update outcome",IF(AND(K133&lt;&gt;"Not Contacted",J133=""),"Add last contact date",IF(AND(J133&lt;&gt;"",J133&gt;Setup!$I$4),"Last contact is after review date",IF(K133="Declined","Align status with declined outcome",IF(AND(L133&lt;&gt;"",L133&gt;G133),"Follow-up is after latest start",IF(AND(L133&lt;&gt;"",L133&lt;Setup!$I$4),"Follow-up overdue",IF(AND(L133&lt;&gt;"",L133&lt;=Setup!$I$4+Setup!$I$9),"Follow-up due soon",IF(AND(J133&lt;&gt;"",Setup!$I$4-J133&gt;Setup!$I$8),"Contact may be stale",""))))))))))</f>
        <v/>
      </c>
    </row>
    <row r="134" ht="22" customHeight="1">
      <c r="A134" s="13" t="n"/>
      <c r="B134" s="14" t="n"/>
      <c r="C134" s="15" t="n"/>
      <c r="D134" s="14" t="n"/>
      <c r="E134" s="14" t="n"/>
      <c r="F134" s="14" t="n"/>
      <c r="G134" s="14" t="n"/>
      <c r="H134" s="15" t="n"/>
      <c r="I134" s="13" t="n"/>
      <c r="J134" s="14" t="n"/>
      <c r="K134" s="15" t="n"/>
      <c r="L134" s="14" t="n"/>
      <c r="M134" s="16">
        <f>IF(OR(D134="",E134=""),"",12*(YEAR(E134)-YEAR(D134))+MONTH(E134)-MONTH(D134)-IF(DAY(E134)&lt;DAY(D134),1,0))</f>
        <v/>
      </c>
      <c r="N134" s="17">
        <f>IF(M134="","",IFERROR(IF(M134&lt;=VLOOKUP(M134,Setup!$A$4:$C$7,3,TRUE),VLOOKUP(M134,Setup!$A$4:$C$7,2,TRUE),"Outside configured ranges"),"Outside configured ranges"))</f>
        <v/>
      </c>
      <c r="O134" s="16">
        <f>IF(OR(B134="",B134&gt;Setup!$I$4),"",Setup!$I$4-B134)</f>
        <v/>
      </c>
      <c r="P134" s="16">
        <f>IF(G134="","",G134-Setup!$I$4)</f>
        <v/>
      </c>
      <c r="Q134" s="27">
        <f>IF(K134="","",IFERROR(VLOOKUP(K134,Setup!$E$4:$F$9,2,FALSE),""))</f>
        <v/>
      </c>
      <c r="R134" s="17">
        <f>IF(A134="","",IF(OR(B134="",C134="",D134="",E134="",F134="",G134="",H134="",I134="",K134=""),"Incomplete",IF(COUNTIF(Setup!$K$4:$K$8,I134)=0,"Invalid status",IF(COUNTIF(Setup!$L$4:$L$8,H134)=0,"Invalid schedule",IF(COUNTIF(Setup!$E$4:$E$9,K134)=0,"Invalid contact outcome",IF(I134&lt;&gt;"Active","Not active",IF(B134&gt;Setup!$I$4,"Future waitlist date",IF(D134&gt;E134,"Invalid age/date",IF(F134&gt;G134,"Invalid window",IF(OR(E134&lt;F134,E134&gt;G134),"Preferred date outside window",IF(G134&lt;Setup!$I$4,"Window expired",IF(OR(M134="",N134="Outside configured ranges"),"Outside age bands","Ready"))))))))))))</f>
        <v/>
      </c>
      <c r="S134" s="27">
        <f>IF(R134&lt;&gt;"Ready","",ROUND(O134*Setup!$I$5+MAX(0,Setup!$I$6-MAX(0,P134))*Setup!$I$7+Q134,1))</f>
        <v/>
      </c>
      <c r="T134" s="16">
        <f>IF(S134="","",1+COUNTIFS($R$2:$R$201,"Ready",$N$2:$N$201,N134,$S$2:$S$201,"&gt;"&amp;S134)+COUNTIFS($R$2:$R$201,"Ready",$N$2:$N$201,N134,$S$2:$S$201,"="&amp;S134,$B$2:$B$201,"&lt;"&amp;B134)+COUNTIFS($R$2:$R$201,"Ready",$N$2:$N$201,N134,$S$2:$S$201,"="&amp;S134,$B$2:$B$201,"="&amp;B134,$A$2:$A$201,"&lt;"&amp;A134))</f>
        <v/>
      </c>
      <c r="U134" s="17">
        <f>IF(A134="","",IF(R134&lt;&gt;"Ready",R134,IF(AND(K134="Not Contacted",J134&lt;&gt;""),"Clear last contact date or update outcome",IF(AND(K134&lt;&gt;"Not Contacted",J134=""),"Add last contact date",IF(AND(J134&lt;&gt;"",J134&gt;Setup!$I$4),"Last contact is after review date",IF(K134="Declined","Align status with declined outcome",IF(AND(L134&lt;&gt;"",L134&gt;G134),"Follow-up is after latest start",IF(AND(L134&lt;&gt;"",L134&lt;Setup!$I$4),"Follow-up overdue",IF(AND(L134&lt;&gt;"",L134&lt;=Setup!$I$4+Setup!$I$9),"Follow-up due soon",IF(AND(J134&lt;&gt;"",Setup!$I$4-J134&gt;Setup!$I$8),"Contact may be stale",""))))))))))</f>
        <v/>
      </c>
    </row>
    <row r="135" ht="22" customHeight="1">
      <c r="A135" s="13" t="n"/>
      <c r="B135" s="14" t="n"/>
      <c r="C135" s="15" t="n"/>
      <c r="D135" s="14" t="n"/>
      <c r="E135" s="14" t="n"/>
      <c r="F135" s="14" t="n"/>
      <c r="G135" s="14" t="n"/>
      <c r="H135" s="15" t="n"/>
      <c r="I135" s="13" t="n"/>
      <c r="J135" s="14" t="n"/>
      <c r="K135" s="15" t="n"/>
      <c r="L135" s="14" t="n"/>
      <c r="M135" s="16">
        <f>IF(OR(D135="",E135=""),"",12*(YEAR(E135)-YEAR(D135))+MONTH(E135)-MONTH(D135)-IF(DAY(E135)&lt;DAY(D135),1,0))</f>
        <v/>
      </c>
      <c r="N135" s="17">
        <f>IF(M135="","",IFERROR(IF(M135&lt;=VLOOKUP(M135,Setup!$A$4:$C$7,3,TRUE),VLOOKUP(M135,Setup!$A$4:$C$7,2,TRUE),"Outside configured ranges"),"Outside configured ranges"))</f>
        <v/>
      </c>
      <c r="O135" s="16">
        <f>IF(OR(B135="",B135&gt;Setup!$I$4),"",Setup!$I$4-B135)</f>
        <v/>
      </c>
      <c r="P135" s="16">
        <f>IF(G135="","",G135-Setup!$I$4)</f>
        <v/>
      </c>
      <c r="Q135" s="27">
        <f>IF(K135="","",IFERROR(VLOOKUP(K135,Setup!$E$4:$F$9,2,FALSE),""))</f>
        <v/>
      </c>
      <c r="R135" s="17">
        <f>IF(A135="","",IF(OR(B135="",C135="",D135="",E135="",F135="",G135="",H135="",I135="",K135=""),"Incomplete",IF(COUNTIF(Setup!$K$4:$K$8,I135)=0,"Invalid status",IF(COUNTIF(Setup!$L$4:$L$8,H135)=0,"Invalid schedule",IF(COUNTIF(Setup!$E$4:$E$9,K135)=0,"Invalid contact outcome",IF(I135&lt;&gt;"Active","Not active",IF(B135&gt;Setup!$I$4,"Future waitlist date",IF(D135&gt;E135,"Invalid age/date",IF(F135&gt;G135,"Invalid window",IF(OR(E135&lt;F135,E135&gt;G135),"Preferred date outside window",IF(G135&lt;Setup!$I$4,"Window expired",IF(OR(M135="",N135="Outside configured ranges"),"Outside age bands","Ready"))))))))))))</f>
        <v/>
      </c>
      <c r="S135" s="27">
        <f>IF(R135&lt;&gt;"Ready","",ROUND(O135*Setup!$I$5+MAX(0,Setup!$I$6-MAX(0,P135))*Setup!$I$7+Q135,1))</f>
        <v/>
      </c>
      <c r="T135" s="16">
        <f>IF(S135="","",1+COUNTIFS($R$2:$R$201,"Ready",$N$2:$N$201,N135,$S$2:$S$201,"&gt;"&amp;S135)+COUNTIFS($R$2:$R$201,"Ready",$N$2:$N$201,N135,$S$2:$S$201,"="&amp;S135,$B$2:$B$201,"&lt;"&amp;B135)+COUNTIFS($R$2:$R$201,"Ready",$N$2:$N$201,N135,$S$2:$S$201,"="&amp;S135,$B$2:$B$201,"="&amp;B135,$A$2:$A$201,"&lt;"&amp;A135))</f>
        <v/>
      </c>
      <c r="U135" s="17">
        <f>IF(A135="","",IF(R135&lt;&gt;"Ready",R135,IF(AND(K135="Not Contacted",J135&lt;&gt;""),"Clear last contact date or update outcome",IF(AND(K135&lt;&gt;"Not Contacted",J135=""),"Add last contact date",IF(AND(J135&lt;&gt;"",J135&gt;Setup!$I$4),"Last contact is after review date",IF(K135="Declined","Align status with declined outcome",IF(AND(L135&lt;&gt;"",L135&gt;G135),"Follow-up is after latest start",IF(AND(L135&lt;&gt;"",L135&lt;Setup!$I$4),"Follow-up overdue",IF(AND(L135&lt;&gt;"",L135&lt;=Setup!$I$4+Setup!$I$9),"Follow-up due soon",IF(AND(J135&lt;&gt;"",Setup!$I$4-J135&gt;Setup!$I$8),"Contact may be stale",""))))))))))</f>
        <v/>
      </c>
    </row>
    <row r="136" ht="22" customHeight="1">
      <c r="A136" s="13" t="n"/>
      <c r="B136" s="14" t="n"/>
      <c r="C136" s="15" t="n"/>
      <c r="D136" s="14" t="n"/>
      <c r="E136" s="14" t="n"/>
      <c r="F136" s="14" t="n"/>
      <c r="G136" s="14" t="n"/>
      <c r="H136" s="15" t="n"/>
      <c r="I136" s="13" t="n"/>
      <c r="J136" s="14" t="n"/>
      <c r="K136" s="15" t="n"/>
      <c r="L136" s="14" t="n"/>
      <c r="M136" s="16">
        <f>IF(OR(D136="",E136=""),"",12*(YEAR(E136)-YEAR(D136))+MONTH(E136)-MONTH(D136)-IF(DAY(E136)&lt;DAY(D136),1,0))</f>
        <v/>
      </c>
      <c r="N136" s="17">
        <f>IF(M136="","",IFERROR(IF(M136&lt;=VLOOKUP(M136,Setup!$A$4:$C$7,3,TRUE),VLOOKUP(M136,Setup!$A$4:$C$7,2,TRUE),"Outside configured ranges"),"Outside configured ranges"))</f>
        <v/>
      </c>
      <c r="O136" s="16">
        <f>IF(OR(B136="",B136&gt;Setup!$I$4),"",Setup!$I$4-B136)</f>
        <v/>
      </c>
      <c r="P136" s="16">
        <f>IF(G136="","",G136-Setup!$I$4)</f>
        <v/>
      </c>
      <c r="Q136" s="27">
        <f>IF(K136="","",IFERROR(VLOOKUP(K136,Setup!$E$4:$F$9,2,FALSE),""))</f>
        <v/>
      </c>
      <c r="R136" s="17">
        <f>IF(A136="","",IF(OR(B136="",C136="",D136="",E136="",F136="",G136="",H136="",I136="",K136=""),"Incomplete",IF(COUNTIF(Setup!$K$4:$K$8,I136)=0,"Invalid status",IF(COUNTIF(Setup!$L$4:$L$8,H136)=0,"Invalid schedule",IF(COUNTIF(Setup!$E$4:$E$9,K136)=0,"Invalid contact outcome",IF(I136&lt;&gt;"Active","Not active",IF(B136&gt;Setup!$I$4,"Future waitlist date",IF(D136&gt;E136,"Invalid age/date",IF(F136&gt;G136,"Invalid window",IF(OR(E136&lt;F136,E136&gt;G136),"Preferred date outside window",IF(G136&lt;Setup!$I$4,"Window expired",IF(OR(M136="",N136="Outside configured ranges"),"Outside age bands","Ready"))))))))))))</f>
        <v/>
      </c>
      <c r="S136" s="27">
        <f>IF(R136&lt;&gt;"Ready","",ROUND(O136*Setup!$I$5+MAX(0,Setup!$I$6-MAX(0,P136))*Setup!$I$7+Q136,1))</f>
        <v/>
      </c>
      <c r="T136" s="16">
        <f>IF(S136="","",1+COUNTIFS($R$2:$R$201,"Ready",$N$2:$N$201,N136,$S$2:$S$201,"&gt;"&amp;S136)+COUNTIFS($R$2:$R$201,"Ready",$N$2:$N$201,N136,$S$2:$S$201,"="&amp;S136,$B$2:$B$201,"&lt;"&amp;B136)+COUNTIFS($R$2:$R$201,"Ready",$N$2:$N$201,N136,$S$2:$S$201,"="&amp;S136,$B$2:$B$201,"="&amp;B136,$A$2:$A$201,"&lt;"&amp;A136))</f>
        <v/>
      </c>
      <c r="U136" s="17">
        <f>IF(A136="","",IF(R136&lt;&gt;"Ready",R136,IF(AND(K136="Not Contacted",J136&lt;&gt;""),"Clear last contact date or update outcome",IF(AND(K136&lt;&gt;"Not Contacted",J136=""),"Add last contact date",IF(AND(J136&lt;&gt;"",J136&gt;Setup!$I$4),"Last contact is after review date",IF(K136="Declined","Align status with declined outcome",IF(AND(L136&lt;&gt;"",L136&gt;G136),"Follow-up is after latest start",IF(AND(L136&lt;&gt;"",L136&lt;Setup!$I$4),"Follow-up overdue",IF(AND(L136&lt;&gt;"",L136&lt;=Setup!$I$4+Setup!$I$9),"Follow-up due soon",IF(AND(J136&lt;&gt;"",Setup!$I$4-J136&gt;Setup!$I$8),"Contact may be stale",""))))))))))</f>
        <v/>
      </c>
    </row>
    <row r="137" ht="22" customHeight="1">
      <c r="A137" s="13" t="n"/>
      <c r="B137" s="14" t="n"/>
      <c r="C137" s="15" t="n"/>
      <c r="D137" s="14" t="n"/>
      <c r="E137" s="14" t="n"/>
      <c r="F137" s="14" t="n"/>
      <c r="G137" s="14" t="n"/>
      <c r="H137" s="15" t="n"/>
      <c r="I137" s="13" t="n"/>
      <c r="J137" s="14" t="n"/>
      <c r="K137" s="15" t="n"/>
      <c r="L137" s="14" t="n"/>
      <c r="M137" s="16">
        <f>IF(OR(D137="",E137=""),"",12*(YEAR(E137)-YEAR(D137))+MONTH(E137)-MONTH(D137)-IF(DAY(E137)&lt;DAY(D137),1,0))</f>
        <v/>
      </c>
      <c r="N137" s="17">
        <f>IF(M137="","",IFERROR(IF(M137&lt;=VLOOKUP(M137,Setup!$A$4:$C$7,3,TRUE),VLOOKUP(M137,Setup!$A$4:$C$7,2,TRUE),"Outside configured ranges"),"Outside configured ranges"))</f>
        <v/>
      </c>
      <c r="O137" s="16">
        <f>IF(OR(B137="",B137&gt;Setup!$I$4),"",Setup!$I$4-B137)</f>
        <v/>
      </c>
      <c r="P137" s="16">
        <f>IF(G137="","",G137-Setup!$I$4)</f>
        <v/>
      </c>
      <c r="Q137" s="27">
        <f>IF(K137="","",IFERROR(VLOOKUP(K137,Setup!$E$4:$F$9,2,FALSE),""))</f>
        <v/>
      </c>
      <c r="R137" s="17">
        <f>IF(A137="","",IF(OR(B137="",C137="",D137="",E137="",F137="",G137="",H137="",I137="",K137=""),"Incomplete",IF(COUNTIF(Setup!$K$4:$K$8,I137)=0,"Invalid status",IF(COUNTIF(Setup!$L$4:$L$8,H137)=0,"Invalid schedule",IF(COUNTIF(Setup!$E$4:$E$9,K137)=0,"Invalid contact outcome",IF(I137&lt;&gt;"Active","Not active",IF(B137&gt;Setup!$I$4,"Future waitlist date",IF(D137&gt;E137,"Invalid age/date",IF(F137&gt;G137,"Invalid window",IF(OR(E137&lt;F137,E137&gt;G137),"Preferred date outside window",IF(G137&lt;Setup!$I$4,"Window expired",IF(OR(M137="",N137="Outside configured ranges"),"Outside age bands","Ready"))))))))))))</f>
        <v/>
      </c>
      <c r="S137" s="27">
        <f>IF(R137&lt;&gt;"Ready","",ROUND(O137*Setup!$I$5+MAX(0,Setup!$I$6-MAX(0,P137))*Setup!$I$7+Q137,1))</f>
        <v/>
      </c>
      <c r="T137" s="16">
        <f>IF(S137="","",1+COUNTIFS($R$2:$R$201,"Ready",$N$2:$N$201,N137,$S$2:$S$201,"&gt;"&amp;S137)+COUNTIFS($R$2:$R$201,"Ready",$N$2:$N$201,N137,$S$2:$S$201,"="&amp;S137,$B$2:$B$201,"&lt;"&amp;B137)+COUNTIFS($R$2:$R$201,"Ready",$N$2:$N$201,N137,$S$2:$S$201,"="&amp;S137,$B$2:$B$201,"="&amp;B137,$A$2:$A$201,"&lt;"&amp;A137))</f>
        <v/>
      </c>
      <c r="U137" s="17">
        <f>IF(A137="","",IF(R137&lt;&gt;"Ready",R137,IF(AND(K137="Not Contacted",J137&lt;&gt;""),"Clear last contact date or update outcome",IF(AND(K137&lt;&gt;"Not Contacted",J137=""),"Add last contact date",IF(AND(J137&lt;&gt;"",J137&gt;Setup!$I$4),"Last contact is after review date",IF(K137="Declined","Align status with declined outcome",IF(AND(L137&lt;&gt;"",L137&gt;G137),"Follow-up is after latest start",IF(AND(L137&lt;&gt;"",L137&lt;Setup!$I$4),"Follow-up overdue",IF(AND(L137&lt;&gt;"",L137&lt;=Setup!$I$4+Setup!$I$9),"Follow-up due soon",IF(AND(J137&lt;&gt;"",Setup!$I$4-J137&gt;Setup!$I$8),"Contact may be stale",""))))))))))</f>
        <v/>
      </c>
    </row>
    <row r="138" ht="22" customHeight="1">
      <c r="A138" s="13" t="n"/>
      <c r="B138" s="14" t="n"/>
      <c r="C138" s="15" t="n"/>
      <c r="D138" s="14" t="n"/>
      <c r="E138" s="14" t="n"/>
      <c r="F138" s="14" t="n"/>
      <c r="G138" s="14" t="n"/>
      <c r="H138" s="15" t="n"/>
      <c r="I138" s="13" t="n"/>
      <c r="J138" s="14" t="n"/>
      <c r="K138" s="15" t="n"/>
      <c r="L138" s="14" t="n"/>
      <c r="M138" s="16">
        <f>IF(OR(D138="",E138=""),"",12*(YEAR(E138)-YEAR(D138))+MONTH(E138)-MONTH(D138)-IF(DAY(E138)&lt;DAY(D138),1,0))</f>
        <v/>
      </c>
      <c r="N138" s="17">
        <f>IF(M138="","",IFERROR(IF(M138&lt;=VLOOKUP(M138,Setup!$A$4:$C$7,3,TRUE),VLOOKUP(M138,Setup!$A$4:$C$7,2,TRUE),"Outside configured ranges"),"Outside configured ranges"))</f>
        <v/>
      </c>
      <c r="O138" s="16">
        <f>IF(OR(B138="",B138&gt;Setup!$I$4),"",Setup!$I$4-B138)</f>
        <v/>
      </c>
      <c r="P138" s="16">
        <f>IF(G138="","",G138-Setup!$I$4)</f>
        <v/>
      </c>
      <c r="Q138" s="27">
        <f>IF(K138="","",IFERROR(VLOOKUP(K138,Setup!$E$4:$F$9,2,FALSE),""))</f>
        <v/>
      </c>
      <c r="R138" s="17">
        <f>IF(A138="","",IF(OR(B138="",C138="",D138="",E138="",F138="",G138="",H138="",I138="",K138=""),"Incomplete",IF(COUNTIF(Setup!$K$4:$K$8,I138)=0,"Invalid status",IF(COUNTIF(Setup!$L$4:$L$8,H138)=0,"Invalid schedule",IF(COUNTIF(Setup!$E$4:$E$9,K138)=0,"Invalid contact outcome",IF(I138&lt;&gt;"Active","Not active",IF(B138&gt;Setup!$I$4,"Future waitlist date",IF(D138&gt;E138,"Invalid age/date",IF(F138&gt;G138,"Invalid window",IF(OR(E138&lt;F138,E138&gt;G138),"Preferred date outside window",IF(G138&lt;Setup!$I$4,"Window expired",IF(OR(M138="",N138="Outside configured ranges"),"Outside age bands","Ready"))))))))))))</f>
        <v/>
      </c>
      <c r="S138" s="27">
        <f>IF(R138&lt;&gt;"Ready","",ROUND(O138*Setup!$I$5+MAX(0,Setup!$I$6-MAX(0,P138))*Setup!$I$7+Q138,1))</f>
        <v/>
      </c>
      <c r="T138" s="16">
        <f>IF(S138="","",1+COUNTIFS($R$2:$R$201,"Ready",$N$2:$N$201,N138,$S$2:$S$201,"&gt;"&amp;S138)+COUNTIFS($R$2:$R$201,"Ready",$N$2:$N$201,N138,$S$2:$S$201,"="&amp;S138,$B$2:$B$201,"&lt;"&amp;B138)+COUNTIFS($R$2:$R$201,"Ready",$N$2:$N$201,N138,$S$2:$S$201,"="&amp;S138,$B$2:$B$201,"="&amp;B138,$A$2:$A$201,"&lt;"&amp;A138))</f>
        <v/>
      </c>
      <c r="U138" s="17">
        <f>IF(A138="","",IF(R138&lt;&gt;"Ready",R138,IF(AND(K138="Not Contacted",J138&lt;&gt;""),"Clear last contact date or update outcome",IF(AND(K138&lt;&gt;"Not Contacted",J138=""),"Add last contact date",IF(AND(J138&lt;&gt;"",J138&gt;Setup!$I$4),"Last contact is after review date",IF(K138="Declined","Align status with declined outcome",IF(AND(L138&lt;&gt;"",L138&gt;G138),"Follow-up is after latest start",IF(AND(L138&lt;&gt;"",L138&lt;Setup!$I$4),"Follow-up overdue",IF(AND(L138&lt;&gt;"",L138&lt;=Setup!$I$4+Setup!$I$9),"Follow-up due soon",IF(AND(J138&lt;&gt;"",Setup!$I$4-J138&gt;Setup!$I$8),"Contact may be stale",""))))))))))</f>
        <v/>
      </c>
    </row>
    <row r="139" ht="22" customHeight="1">
      <c r="A139" s="13" t="n"/>
      <c r="B139" s="14" t="n"/>
      <c r="C139" s="15" t="n"/>
      <c r="D139" s="14" t="n"/>
      <c r="E139" s="14" t="n"/>
      <c r="F139" s="14" t="n"/>
      <c r="G139" s="14" t="n"/>
      <c r="H139" s="15" t="n"/>
      <c r="I139" s="13" t="n"/>
      <c r="J139" s="14" t="n"/>
      <c r="K139" s="15" t="n"/>
      <c r="L139" s="14" t="n"/>
      <c r="M139" s="16">
        <f>IF(OR(D139="",E139=""),"",12*(YEAR(E139)-YEAR(D139))+MONTH(E139)-MONTH(D139)-IF(DAY(E139)&lt;DAY(D139),1,0))</f>
        <v/>
      </c>
      <c r="N139" s="17">
        <f>IF(M139="","",IFERROR(IF(M139&lt;=VLOOKUP(M139,Setup!$A$4:$C$7,3,TRUE),VLOOKUP(M139,Setup!$A$4:$C$7,2,TRUE),"Outside configured ranges"),"Outside configured ranges"))</f>
        <v/>
      </c>
      <c r="O139" s="16">
        <f>IF(OR(B139="",B139&gt;Setup!$I$4),"",Setup!$I$4-B139)</f>
        <v/>
      </c>
      <c r="P139" s="16">
        <f>IF(G139="","",G139-Setup!$I$4)</f>
        <v/>
      </c>
      <c r="Q139" s="27">
        <f>IF(K139="","",IFERROR(VLOOKUP(K139,Setup!$E$4:$F$9,2,FALSE),""))</f>
        <v/>
      </c>
      <c r="R139" s="17">
        <f>IF(A139="","",IF(OR(B139="",C139="",D139="",E139="",F139="",G139="",H139="",I139="",K139=""),"Incomplete",IF(COUNTIF(Setup!$K$4:$K$8,I139)=0,"Invalid status",IF(COUNTIF(Setup!$L$4:$L$8,H139)=0,"Invalid schedule",IF(COUNTIF(Setup!$E$4:$E$9,K139)=0,"Invalid contact outcome",IF(I139&lt;&gt;"Active","Not active",IF(B139&gt;Setup!$I$4,"Future waitlist date",IF(D139&gt;E139,"Invalid age/date",IF(F139&gt;G139,"Invalid window",IF(OR(E139&lt;F139,E139&gt;G139),"Preferred date outside window",IF(G139&lt;Setup!$I$4,"Window expired",IF(OR(M139="",N139="Outside configured ranges"),"Outside age bands","Ready"))))))))))))</f>
        <v/>
      </c>
      <c r="S139" s="27">
        <f>IF(R139&lt;&gt;"Ready","",ROUND(O139*Setup!$I$5+MAX(0,Setup!$I$6-MAX(0,P139))*Setup!$I$7+Q139,1))</f>
        <v/>
      </c>
      <c r="T139" s="16">
        <f>IF(S139="","",1+COUNTIFS($R$2:$R$201,"Ready",$N$2:$N$201,N139,$S$2:$S$201,"&gt;"&amp;S139)+COUNTIFS($R$2:$R$201,"Ready",$N$2:$N$201,N139,$S$2:$S$201,"="&amp;S139,$B$2:$B$201,"&lt;"&amp;B139)+COUNTIFS($R$2:$R$201,"Ready",$N$2:$N$201,N139,$S$2:$S$201,"="&amp;S139,$B$2:$B$201,"="&amp;B139,$A$2:$A$201,"&lt;"&amp;A139))</f>
        <v/>
      </c>
      <c r="U139" s="17">
        <f>IF(A139="","",IF(R139&lt;&gt;"Ready",R139,IF(AND(K139="Not Contacted",J139&lt;&gt;""),"Clear last contact date or update outcome",IF(AND(K139&lt;&gt;"Not Contacted",J139=""),"Add last contact date",IF(AND(J139&lt;&gt;"",J139&gt;Setup!$I$4),"Last contact is after review date",IF(K139="Declined","Align status with declined outcome",IF(AND(L139&lt;&gt;"",L139&gt;G139),"Follow-up is after latest start",IF(AND(L139&lt;&gt;"",L139&lt;Setup!$I$4),"Follow-up overdue",IF(AND(L139&lt;&gt;"",L139&lt;=Setup!$I$4+Setup!$I$9),"Follow-up due soon",IF(AND(J139&lt;&gt;"",Setup!$I$4-J139&gt;Setup!$I$8),"Contact may be stale",""))))))))))</f>
        <v/>
      </c>
    </row>
    <row r="140" ht="22" customHeight="1">
      <c r="A140" s="13" t="n"/>
      <c r="B140" s="14" t="n"/>
      <c r="C140" s="15" t="n"/>
      <c r="D140" s="14" t="n"/>
      <c r="E140" s="14" t="n"/>
      <c r="F140" s="14" t="n"/>
      <c r="G140" s="14" t="n"/>
      <c r="H140" s="15" t="n"/>
      <c r="I140" s="13" t="n"/>
      <c r="J140" s="14" t="n"/>
      <c r="K140" s="15" t="n"/>
      <c r="L140" s="14" t="n"/>
      <c r="M140" s="16">
        <f>IF(OR(D140="",E140=""),"",12*(YEAR(E140)-YEAR(D140))+MONTH(E140)-MONTH(D140)-IF(DAY(E140)&lt;DAY(D140),1,0))</f>
        <v/>
      </c>
      <c r="N140" s="17">
        <f>IF(M140="","",IFERROR(IF(M140&lt;=VLOOKUP(M140,Setup!$A$4:$C$7,3,TRUE),VLOOKUP(M140,Setup!$A$4:$C$7,2,TRUE),"Outside configured ranges"),"Outside configured ranges"))</f>
        <v/>
      </c>
      <c r="O140" s="16">
        <f>IF(OR(B140="",B140&gt;Setup!$I$4),"",Setup!$I$4-B140)</f>
        <v/>
      </c>
      <c r="P140" s="16">
        <f>IF(G140="","",G140-Setup!$I$4)</f>
        <v/>
      </c>
      <c r="Q140" s="27">
        <f>IF(K140="","",IFERROR(VLOOKUP(K140,Setup!$E$4:$F$9,2,FALSE),""))</f>
        <v/>
      </c>
      <c r="R140" s="17">
        <f>IF(A140="","",IF(OR(B140="",C140="",D140="",E140="",F140="",G140="",H140="",I140="",K140=""),"Incomplete",IF(COUNTIF(Setup!$K$4:$K$8,I140)=0,"Invalid status",IF(COUNTIF(Setup!$L$4:$L$8,H140)=0,"Invalid schedule",IF(COUNTIF(Setup!$E$4:$E$9,K140)=0,"Invalid contact outcome",IF(I140&lt;&gt;"Active","Not active",IF(B140&gt;Setup!$I$4,"Future waitlist date",IF(D140&gt;E140,"Invalid age/date",IF(F140&gt;G140,"Invalid window",IF(OR(E140&lt;F140,E140&gt;G140),"Preferred date outside window",IF(G140&lt;Setup!$I$4,"Window expired",IF(OR(M140="",N140="Outside configured ranges"),"Outside age bands","Ready"))))))))))))</f>
        <v/>
      </c>
      <c r="S140" s="27">
        <f>IF(R140&lt;&gt;"Ready","",ROUND(O140*Setup!$I$5+MAX(0,Setup!$I$6-MAX(0,P140))*Setup!$I$7+Q140,1))</f>
        <v/>
      </c>
      <c r="T140" s="16">
        <f>IF(S140="","",1+COUNTIFS($R$2:$R$201,"Ready",$N$2:$N$201,N140,$S$2:$S$201,"&gt;"&amp;S140)+COUNTIFS($R$2:$R$201,"Ready",$N$2:$N$201,N140,$S$2:$S$201,"="&amp;S140,$B$2:$B$201,"&lt;"&amp;B140)+COUNTIFS($R$2:$R$201,"Ready",$N$2:$N$201,N140,$S$2:$S$201,"="&amp;S140,$B$2:$B$201,"="&amp;B140,$A$2:$A$201,"&lt;"&amp;A140))</f>
        <v/>
      </c>
      <c r="U140" s="17">
        <f>IF(A140="","",IF(R140&lt;&gt;"Ready",R140,IF(AND(K140="Not Contacted",J140&lt;&gt;""),"Clear last contact date or update outcome",IF(AND(K140&lt;&gt;"Not Contacted",J140=""),"Add last contact date",IF(AND(J140&lt;&gt;"",J140&gt;Setup!$I$4),"Last contact is after review date",IF(K140="Declined","Align status with declined outcome",IF(AND(L140&lt;&gt;"",L140&gt;G140),"Follow-up is after latest start",IF(AND(L140&lt;&gt;"",L140&lt;Setup!$I$4),"Follow-up overdue",IF(AND(L140&lt;&gt;"",L140&lt;=Setup!$I$4+Setup!$I$9),"Follow-up due soon",IF(AND(J140&lt;&gt;"",Setup!$I$4-J140&gt;Setup!$I$8),"Contact may be stale",""))))))))))</f>
        <v/>
      </c>
    </row>
    <row r="141" ht="22" customHeight="1">
      <c r="A141" s="13" t="n"/>
      <c r="B141" s="14" t="n"/>
      <c r="C141" s="15" t="n"/>
      <c r="D141" s="14" t="n"/>
      <c r="E141" s="14" t="n"/>
      <c r="F141" s="14" t="n"/>
      <c r="G141" s="14" t="n"/>
      <c r="H141" s="15" t="n"/>
      <c r="I141" s="13" t="n"/>
      <c r="J141" s="14" t="n"/>
      <c r="K141" s="15" t="n"/>
      <c r="L141" s="14" t="n"/>
      <c r="M141" s="16">
        <f>IF(OR(D141="",E141=""),"",12*(YEAR(E141)-YEAR(D141))+MONTH(E141)-MONTH(D141)-IF(DAY(E141)&lt;DAY(D141),1,0))</f>
        <v/>
      </c>
      <c r="N141" s="17">
        <f>IF(M141="","",IFERROR(IF(M141&lt;=VLOOKUP(M141,Setup!$A$4:$C$7,3,TRUE),VLOOKUP(M141,Setup!$A$4:$C$7,2,TRUE),"Outside configured ranges"),"Outside configured ranges"))</f>
        <v/>
      </c>
      <c r="O141" s="16">
        <f>IF(OR(B141="",B141&gt;Setup!$I$4),"",Setup!$I$4-B141)</f>
        <v/>
      </c>
      <c r="P141" s="16">
        <f>IF(G141="","",G141-Setup!$I$4)</f>
        <v/>
      </c>
      <c r="Q141" s="27">
        <f>IF(K141="","",IFERROR(VLOOKUP(K141,Setup!$E$4:$F$9,2,FALSE),""))</f>
        <v/>
      </c>
      <c r="R141" s="17">
        <f>IF(A141="","",IF(OR(B141="",C141="",D141="",E141="",F141="",G141="",H141="",I141="",K141=""),"Incomplete",IF(COUNTIF(Setup!$K$4:$K$8,I141)=0,"Invalid status",IF(COUNTIF(Setup!$L$4:$L$8,H141)=0,"Invalid schedule",IF(COUNTIF(Setup!$E$4:$E$9,K141)=0,"Invalid contact outcome",IF(I141&lt;&gt;"Active","Not active",IF(B141&gt;Setup!$I$4,"Future waitlist date",IF(D141&gt;E141,"Invalid age/date",IF(F141&gt;G141,"Invalid window",IF(OR(E141&lt;F141,E141&gt;G141),"Preferred date outside window",IF(G141&lt;Setup!$I$4,"Window expired",IF(OR(M141="",N141="Outside configured ranges"),"Outside age bands","Ready"))))))))))))</f>
        <v/>
      </c>
      <c r="S141" s="27">
        <f>IF(R141&lt;&gt;"Ready","",ROUND(O141*Setup!$I$5+MAX(0,Setup!$I$6-MAX(0,P141))*Setup!$I$7+Q141,1))</f>
        <v/>
      </c>
      <c r="T141" s="16">
        <f>IF(S141="","",1+COUNTIFS($R$2:$R$201,"Ready",$N$2:$N$201,N141,$S$2:$S$201,"&gt;"&amp;S141)+COUNTIFS($R$2:$R$201,"Ready",$N$2:$N$201,N141,$S$2:$S$201,"="&amp;S141,$B$2:$B$201,"&lt;"&amp;B141)+COUNTIFS($R$2:$R$201,"Ready",$N$2:$N$201,N141,$S$2:$S$201,"="&amp;S141,$B$2:$B$201,"="&amp;B141,$A$2:$A$201,"&lt;"&amp;A141))</f>
        <v/>
      </c>
      <c r="U141" s="17">
        <f>IF(A141="","",IF(R141&lt;&gt;"Ready",R141,IF(AND(K141="Not Contacted",J141&lt;&gt;""),"Clear last contact date or update outcome",IF(AND(K141&lt;&gt;"Not Contacted",J141=""),"Add last contact date",IF(AND(J141&lt;&gt;"",J141&gt;Setup!$I$4),"Last contact is after review date",IF(K141="Declined","Align status with declined outcome",IF(AND(L141&lt;&gt;"",L141&gt;G141),"Follow-up is after latest start",IF(AND(L141&lt;&gt;"",L141&lt;Setup!$I$4),"Follow-up overdue",IF(AND(L141&lt;&gt;"",L141&lt;=Setup!$I$4+Setup!$I$9),"Follow-up due soon",IF(AND(J141&lt;&gt;"",Setup!$I$4-J141&gt;Setup!$I$8),"Contact may be stale",""))))))))))</f>
        <v/>
      </c>
    </row>
    <row r="142" ht="22" customHeight="1">
      <c r="A142" s="13" t="n"/>
      <c r="B142" s="14" t="n"/>
      <c r="C142" s="15" t="n"/>
      <c r="D142" s="14" t="n"/>
      <c r="E142" s="14" t="n"/>
      <c r="F142" s="14" t="n"/>
      <c r="G142" s="14" t="n"/>
      <c r="H142" s="15" t="n"/>
      <c r="I142" s="13" t="n"/>
      <c r="J142" s="14" t="n"/>
      <c r="K142" s="15" t="n"/>
      <c r="L142" s="14" t="n"/>
      <c r="M142" s="16">
        <f>IF(OR(D142="",E142=""),"",12*(YEAR(E142)-YEAR(D142))+MONTH(E142)-MONTH(D142)-IF(DAY(E142)&lt;DAY(D142),1,0))</f>
        <v/>
      </c>
      <c r="N142" s="17">
        <f>IF(M142="","",IFERROR(IF(M142&lt;=VLOOKUP(M142,Setup!$A$4:$C$7,3,TRUE),VLOOKUP(M142,Setup!$A$4:$C$7,2,TRUE),"Outside configured ranges"),"Outside configured ranges"))</f>
        <v/>
      </c>
      <c r="O142" s="16">
        <f>IF(OR(B142="",B142&gt;Setup!$I$4),"",Setup!$I$4-B142)</f>
        <v/>
      </c>
      <c r="P142" s="16">
        <f>IF(G142="","",G142-Setup!$I$4)</f>
        <v/>
      </c>
      <c r="Q142" s="27">
        <f>IF(K142="","",IFERROR(VLOOKUP(K142,Setup!$E$4:$F$9,2,FALSE),""))</f>
        <v/>
      </c>
      <c r="R142" s="17">
        <f>IF(A142="","",IF(OR(B142="",C142="",D142="",E142="",F142="",G142="",H142="",I142="",K142=""),"Incomplete",IF(COUNTIF(Setup!$K$4:$K$8,I142)=0,"Invalid status",IF(COUNTIF(Setup!$L$4:$L$8,H142)=0,"Invalid schedule",IF(COUNTIF(Setup!$E$4:$E$9,K142)=0,"Invalid contact outcome",IF(I142&lt;&gt;"Active","Not active",IF(B142&gt;Setup!$I$4,"Future waitlist date",IF(D142&gt;E142,"Invalid age/date",IF(F142&gt;G142,"Invalid window",IF(OR(E142&lt;F142,E142&gt;G142),"Preferred date outside window",IF(G142&lt;Setup!$I$4,"Window expired",IF(OR(M142="",N142="Outside configured ranges"),"Outside age bands","Ready"))))))))))))</f>
        <v/>
      </c>
      <c r="S142" s="27">
        <f>IF(R142&lt;&gt;"Ready","",ROUND(O142*Setup!$I$5+MAX(0,Setup!$I$6-MAX(0,P142))*Setup!$I$7+Q142,1))</f>
        <v/>
      </c>
      <c r="T142" s="16">
        <f>IF(S142="","",1+COUNTIFS($R$2:$R$201,"Ready",$N$2:$N$201,N142,$S$2:$S$201,"&gt;"&amp;S142)+COUNTIFS($R$2:$R$201,"Ready",$N$2:$N$201,N142,$S$2:$S$201,"="&amp;S142,$B$2:$B$201,"&lt;"&amp;B142)+COUNTIFS($R$2:$R$201,"Ready",$N$2:$N$201,N142,$S$2:$S$201,"="&amp;S142,$B$2:$B$201,"="&amp;B142,$A$2:$A$201,"&lt;"&amp;A142))</f>
        <v/>
      </c>
      <c r="U142" s="17">
        <f>IF(A142="","",IF(R142&lt;&gt;"Ready",R142,IF(AND(K142="Not Contacted",J142&lt;&gt;""),"Clear last contact date or update outcome",IF(AND(K142&lt;&gt;"Not Contacted",J142=""),"Add last contact date",IF(AND(J142&lt;&gt;"",J142&gt;Setup!$I$4),"Last contact is after review date",IF(K142="Declined","Align status with declined outcome",IF(AND(L142&lt;&gt;"",L142&gt;G142),"Follow-up is after latest start",IF(AND(L142&lt;&gt;"",L142&lt;Setup!$I$4),"Follow-up overdue",IF(AND(L142&lt;&gt;"",L142&lt;=Setup!$I$4+Setup!$I$9),"Follow-up due soon",IF(AND(J142&lt;&gt;"",Setup!$I$4-J142&gt;Setup!$I$8),"Contact may be stale",""))))))))))</f>
        <v/>
      </c>
    </row>
    <row r="143" ht="22" customHeight="1">
      <c r="A143" s="13" t="n"/>
      <c r="B143" s="14" t="n"/>
      <c r="C143" s="15" t="n"/>
      <c r="D143" s="14" t="n"/>
      <c r="E143" s="14" t="n"/>
      <c r="F143" s="14" t="n"/>
      <c r="G143" s="14" t="n"/>
      <c r="H143" s="15" t="n"/>
      <c r="I143" s="13" t="n"/>
      <c r="J143" s="14" t="n"/>
      <c r="K143" s="15" t="n"/>
      <c r="L143" s="14" t="n"/>
      <c r="M143" s="16">
        <f>IF(OR(D143="",E143=""),"",12*(YEAR(E143)-YEAR(D143))+MONTH(E143)-MONTH(D143)-IF(DAY(E143)&lt;DAY(D143),1,0))</f>
        <v/>
      </c>
      <c r="N143" s="17">
        <f>IF(M143="","",IFERROR(IF(M143&lt;=VLOOKUP(M143,Setup!$A$4:$C$7,3,TRUE),VLOOKUP(M143,Setup!$A$4:$C$7,2,TRUE),"Outside configured ranges"),"Outside configured ranges"))</f>
        <v/>
      </c>
      <c r="O143" s="16">
        <f>IF(OR(B143="",B143&gt;Setup!$I$4),"",Setup!$I$4-B143)</f>
        <v/>
      </c>
      <c r="P143" s="16">
        <f>IF(G143="","",G143-Setup!$I$4)</f>
        <v/>
      </c>
      <c r="Q143" s="27">
        <f>IF(K143="","",IFERROR(VLOOKUP(K143,Setup!$E$4:$F$9,2,FALSE),""))</f>
        <v/>
      </c>
      <c r="R143" s="17">
        <f>IF(A143="","",IF(OR(B143="",C143="",D143="",E143="",F143="",G143="",H143="",I143="",K143=""),"Incomplete",IF(COUNTIF(Setup!$K$4:$K$8,I143)=0,"Invalid status",IF(COUNTIF(Setup!$L$4:$L$8,H143)=0,"Invalid schedule",IF(COUNTIF(Setup!$E$4:$E$9,K143)=0,"Invalid contact outcome",IF(I143&lt;&gt;"Active","Not active",IF(B143&gt;Setup!$I$4,"Future waitlist date",IF(D143&gt;E143,"Invalid age/date",IF(F143&gt;G143,"Invalid window",IF(OR(E143&lt;F143,E143&gt;G143),"Preferred date outside window",IF(G143&lt;Setup!$I$4,"Window expired",IF(OR(M143="",N143="Outside configured ranges"),"Outside age bands","Ready"))))))))))))</f>
        <v/>
      </c>
      <c r="S143" s="27">
        <f>IF(R143&lt;&gt;"Ready","",ROUND(O143*Setup!$I$5+MAX(0,Setup!$I$6-MAX(0,P143))*Setup!$I$7+Q143,1))</f>
        <v/>
      </c>
      <c r="T143" s="16">
        <f>IF(S143="","",1+COUNTIFS($R$2:$R$201,"Ready",$N$2:$N$201,N143,$S$2:$S$201,"&gt;"&amp;S143)+COUNTIFS($R$2:$R$201,"Ready",$N$2:$N$201,N143,$S$2:$S$201,"="&amp;S143,$B$2:$B$201,"&lt;"&amp;B143)+COUNTIFS($R$2:$R$201,"Ready",$N$2:$N$201,N143,$S$2:$S$201,"="&amp;S143,$B$2:$B$201,"="&amp;B143,$A$2:$A$201,"&lt;"&amp;A143))</f>
        <v/>
      </c>
      <c r="U143" s="17">
        <f>IF(A143="","",IF(R143&lt;&gt;"Ready",R143,IF(AND(K143="Not Contacted",J143&lt;&gt;""),"Clear last contact date or update outcome",IF(AND(K143&lt;&gt;"Not Contacted",J143=""),"Add last contact date",IF(AND(J143&lt;&gt;"",J143&gt;Setup!$I$4),"Last contact is after review date",IF(K143="Declined","Align status with declined outcome",IF(AND(L143&lt;&gt;"",L143&gt;G143),"Follow-up is after latest start",IF(AND(L143&lt;&gt;"",L143&lt;Setup!$I$4),"Follow-up overdue",IF(AND(L143&lt;&gt;"",L143&lt;=Setup!$I$4+Setup!$I$9),"Follow-up due soon",IF(AND(J143&lt;&gt;"",Setup!$I$4-J143&gt;Setup!$I$8),"Contact may be stale",""))))))))))</f>
        <v/>
      </c>
    </row>
    <row r="144" ht="22" customHeight="1">
      <c r="A144" s="13" t="n"/>
      <c r="B144" s="14" t="n"/>
      <c r="C144" s="15" t="n"/>
      <c r="D144" s="14" t="n"/>
      <c r="E144" s="14" t="n"/>
      <c r="F144" s="14" t="n"/>
      <c r="G144" s="14" t="n"/>
      <c r="H144" s="15" t="n"/>
      <c r="I144" s="13" t="n"/>
      <c r="J144" s="14" t="n"/>
      <c r="K144" s="15" t="n"/>
      <c r="L144" s="14" t="n"/>
      <c r="M144" s="16">
        <f>IF(OR(D144="",E144=""),"",12*(YEAR(E144)-YEAR(D144))+MONTH(E144)-MONTH(D144)-IF(DAY(E144)&lt;DAY(D144),1,0))</f>
        <v/>
      </c>
      <c r="N144" s="17">
        <f>IF(M144="","",IFERROR(IF(M144&lt;=VLOOKUP(M144,Setup!$A$4:$C$7,3,TRUE),VLOOKUP(M144,Setup!$A$4:$C$7,2,TRUE),"Outside configured ranges"),"Outside configured ranges"))</f>
        <v/>
      </c>
      <c r="O144" s="16">
        <f>IF(OR(B144="",B144&gt;Setup!$I$4),"",Setup!$I$4-B144)</f>
        <v/>
      </c>
      <c r="P144" s="16">
        <f>IF(G144="","",G144-Setup!$I$4)</f>
        <v/>
      </c>
      <c r="Q144" s="27">
        <f>IF(K144="","",IFERROR(VLOOKUP(K144,Setup!$E$4:$F$9,2,FALSE),""))</f>
        <v/>
      </c>
      <c r="R144" s="17">
        <f>IF(A144="","",IF(OR(B144="",C144="",D144="",E144="",F144="",G144="",H144="",I144="",K144=""),"Incomplete",IF(COUNTIF(Setup!$K$4:$K$8,I144)=0,"Invalid status",IF(COUNTIF(Setup!$L$4:$L$8,H144)=0,"Invalid schedule",IF(COUNTIF(Setup!$E$4:$E$9,K144)=0,"Invalid contact outcome",IF(I144&lt;&gt;"Active","Not active",IF(B144&gt;Setup!$I$4,"Future waitlist date",IF(D144&gt;E144,"Invalid age/date",IF(F144&gt;G144,"Invalid window",IF(OR(E144&lt;F144,E144&gt;G144),"Preferred date outside window",IF(G144&lt;Setup!$I$4,"Window expired",IF(OR(M144="",N144="Outside configured ranges"),"Outside age bands","Ready"))))))))))))</f>
        <v/>
      </c>
      <c r="S144" s="27">
        <f>IF(R144&lt;&gt;"Ready","",ROUND(O144*Setup!$I$5+MAX(0,Setup!$I$6-MAX(0,P144))*Setup!$I$7+Q144,1))</f>
        <v/>
      </c>
      <c r="T144" s="16">
        <f>IF(S144="","",1+COUNTIFS($R$2:$R$201,"Ready",$N$2:$N$201,N144,$S$2:$S$201,"&gt;"&amp;S144)+COUNTIFS($R$2:$R$201,"Ready",$N$2:$N$201,N144,$S$2:$S$201,"="&amp;S144,$B$2:$B$201,"&lt;"&amp;B144)+COUNTIFS($R$2:$R$201,"Ready",$N$2:$N$201,N144,$S$2:$S$201,"="&amp;S144,$B$2:$B$201,"="&amp;B144,$A$2:$A$201,"&lt;"&amp;A144))</f>
        <v/>
      </c>
      <c r="U144" s="17">
        <f>IF(A144="","",IF(R144&lt;&gt;"Ready",R144,IF(AND(K144="Not Contacted",J144&lt;&gt;""),"Clear last contact date or update outcome",IF(AND(K144&lt;&gt;"Not Contacted",J144=""),"Add last contact date",IF(AND(J144&lt;&gt;"",J144&gt;Setup!$I$4),"Last contact is after review date",IF(K144="Declined","Align status with declined outcome",IF(AND(L144&lt;&gt;"",L144&gt;G144),"Follow-up is after latest start",IF(AND(L144&lt;&gt;"",L144&lt;Setup!$I$4),"Follow-up overdue",IF(AND(L144&lt;&gt;"",L144&lt;=Setup!$I$4+Setup!$I$9),"Follow-up due soon",IF(AND(J144&lt;&gt;"",Setup!$I$4-J144&gt;Setup!$I$8),"Contact may be stale",""))))))))))</f>
        <v/>
      </c>
    </row>
    <row r="145" ht="22" customHeight="1">
      <c r="A145" s="13" t="n"/>
      <c r="B145" s="14" t="n"/>
      <c r="C145" s="15" t="n"/>
      <c r="D145" s="14" t="n"/>
      <c r="E145" s="14" t="n"/>
      <c r="F145" s="14" t="n"/>
      <c r="G145" s="14" t="n"/>
      <c r="H145" s="15" t="n"/>
      <c r="I145" s="13" t="n"/>
      <c r="J145" s="14" t="n"/>
      <c r="K145" s="15" t="n"/>
      <c r="L145" s="14" t="n"/>
      <c r="M145" s="16">
        <f>IF(OR(D145="",E145=""),"",12*(YEAR(E145)-YEAR(D145))+MONTH(E145)-MONTH(D145)-IF(DAY(E145)&lt;DAY(D145),1,0))</f>
        <v/>
      </c>
      <c r="N145" s="17">
        <f>IF(M145="","",IFERROR(IF(M145&lt;=VLOOKUP(M145,Setup!$A$4:$C$7,3,TRUE),VLOOKUP(M145,Setup!$A$4:$C$7,2,TRUE),"Outside configured ranges"),"Outside configured ranges"))</f>
        <v/>
      </c>
      <c r="O145" s="16">
        <f>IF(OR(B145="",B145&gt;Setup!$I$4),"",Setup!$I$4-B145)</f>
        <v/>
      </c>
      <c r="P145" s="16">
        <f>IF(G145="","",G145-Setup!$I$4)</f>
        <v/>
      </c>
      <c r="Q145" s="27">
        <f>IF(K145="","",IFERROR(VLOOKUP(K145,Setup!$E$4:$F$9,2,FALSE),""))</f>
        <v/>
      </c>
      <c r="R145" s="17">
        <f>IF(A145="","",IF(OR(B145="",C145="",D145="",E145="",F145="",G145="",H145="",I145="",K145=""),"Incomplete",IF(COUNTIF(Setup!$K$4:$K$8,I145)=0,"Invalid status",IF(COUNTIF(Setup!$L$4:$L$8,H145)=0,"Invalid schedule",IF(COUNTIF(Setup!$E$4:$E$9,K145)=0,"Invalid contact outcome",IF(I145&lt;&gt;"Active","Not active",IF(B145&gt;Setup!$I$4,"Future waitlist date",IF(D145&gt;E145,"Invalid age/date",IF(F145&gt;G145,"Invalid window",IF(OR(E145&lt;F145,E145&gt;G145),"Preferred date outside window",IF(G145&lt;Setup!$I$4,"Window expired",IF(OR(M145="",N145="Outside configured ranges"),"Outside age bands","Ready"))))))))))))</f>
        <v/>
      </c>
      <c r="S145" s="27">
        <f>IF(R145&lt;&gt;"Ready","",ROUND(O145*Setup!$I$5+MAX(0,Setup!$I$6-MAX(0,P145))*Setup!$I$7+Q145,1))</f>
        <v/>
      </c>
      <c r="T145" s="16">
        <f>IF(S145="","",1+COUNTIFS($R$2:$R$201,"Ready",$N$2:$N$201,N145,$S$2:$S$201,"&gt;"&amp;S145)+COUNTIFS($R$2:$R$201,"Ready",$N$2:$N$201,N145,$S$2:$S$201,"="&amp;S145,$B$2:$B$201,"&lt;"&amp;B145)+COUNTIFS($R$2:$R$201,"Ready",$N$2:$N$201,N145,$S$2:$S$201,"="&amp;S145,$B$2:$B$201,"="&amp;B145,$A$2:$A$201,"&lt;"&amp;A145))</f>
        <v/>
      </c>
      <c r="U145" s="17">
        <f>IF(A145="","",IF(R145&lt;&gt;"Ready",R145,IF(AND(K145="Not Contacted",J145&lt;&gt;""),"Clear last contact date or update outcome",IF(AND(K145&lt;&gt;"Not Contacted",J145=""),"Add last contact date",IF(AND(J145&lt;&gt;"",J145&gt;Setup!$I$4),"Last contact is after review date",IF(K145="Declined","Align status with declined outcome",IF(AND(L145&lt;&gt;"",L145&gt;G145),"Follow-up is after latest start",IF(AND(L145&lt;&gt;"",L145&lt;Setup!$I$4),"Follow-up overdue",IF(AND(L145&lt;&gt;"",L145&lt;=Setup!$I$4+Setup!$I$9),"Follow-up due soon",IF(AND(J145&lt;&gt;"",Setup!$I$4-J145&gt;Setup!$I$8),"Contact may be stale",""))))))))))</f>
        <v/>
      </c>
    </row>
    <row r="146" ht="22" customHeight="1">
      <c r="A146" s="13" t="n"/>
      <c r="B146" s="14" t="n"/>
      <c r="C146" s="15" t="n"/>
      <c r="D146" s="14" t="n"/>
      <c r="E146" s="14" t="n"/>
      <c r="F146" s="14" t="n"/>
      <c r="G146" s="14" t="n"/>
      <c r="H146" s="15" t="n"/>
      <c r="I146" s="13" t="n"/>
      <c r="J146" s="14" t="n"/>
      <c r="K146" s="15" t="n"/>
      <c r="L146" s="14" t="n"/>
      <c r="M146" s="16">
        <f>IF(OR(D146="",E146=""),"",12*(YEAR(E146)-YEAR(D146))+MONTH(E146)-MONTH(D146)-IF(DAY(E146)&lt;DAY(D146),1,0))</f>
        <v/>
      </c>
      <c r="N146" s="17">
        <f>IF(M146="","",IFERROR(IF(M146&lt;=VLOOKUP(M146,Setup!$A$4:$C$7,3,TRUE),VLOOKUP(M146,Setup!$A$4:$C$7,2,TRUE),"Outside configured ranges"),"Outside configured ranges"))</f>
        <v/>
      </c>
      <c r="O146" s="16">
        <f>IF(OR(B146="",B146&gt;Setup!$I$4),"",Setup!$I$4-B146)</f>
        <v/>
      </c>
      <c r="P146" s="16">
        <f>IF(G146="","",G146-Setup!$I$4)</f>
        <v/>
      </c>
      <c r="Q146" s="27">
        <f>IF(K146="","",IFERROR(VLOOKUP(K146,Setup!$E$4:$F$9,2,FALSE),""))</f>
        <v/>
      </c>
      <c r="R146" s="17">
        <f>IF(A146="","",IF(OR(B146="",C146="",D146="",E146="",F146="",G146="",H146="",I146="",K146=""),"Incomplete",IF(COUNTIF(Setup!$K$4:$K$8,I146)=0,"Invalid status",IF(COUNTIF(Setup!$L$4:$L$8,H146)=0,"Invalid schedule",IF(COUNTIF(Setup!$E$4:$E$9,K146)=0,"Invalid contact outcome",IF(I146&lt;&gt;"Active","Not active",IF(B146&gt;Setup!$I$4,"Future waitlist date",IF(D146&gt;E146,"Invalid age/date",IF(F146&gt;G146,"Invalid window",IF(OR(E146&lt;F146,E146&gt;G146),"Preferred date outside window",IF(G146&lt;Setup!$I$4,"Window expired",IF(OR(M146="",N146="Outside configured ranges"),"Outside age bands","Ready"))))))))))))</f>
        <v/>
      </c>
      <c r="S146" s="27">
        <f>IF(R146&lt;&gt;"Ready","",ROUND(O146*Setup!$I$5+MAX(0,Setup!$I$6-MAX(0,P146))*Setup!$I$7+Q146,1))</f>
        <v/>
      </c>
      <c r="T146" s="16">
        <f>IF(S146="","",1+COUNTIFS($R$2:$R$201,"Ready",$N$2:$N$201,N146,$S$2:$S$201,"&gt;"&amp;S146)+COUNTIFS($R$2:$R$201,"Ready",$N$2:$N$201,N146,$S$2:$S$201,"="&amp;S146,$B$2:$B$201,"&lt;"&amp;B146)+COUNTIFS($R$2:$R$201,"Ready",$N$2:$N$201,N146,$S$2:$S$201,"="&amp;S146,$B$2:$B$201,"="&amp;B146,$A$2:$A$201,"&lt;"&amp;A146))</f>
        <v/>
      </c>
      <c r="U146" s="17">
        <f>IF(A146="","",IF(R146&lt;&gt;"Ready",R146,IF(AND(K146="Not Contacted",J146&lt;&gt;""),"Clear last contact date or update outcome",IF(AND(K146&lt;&gt;"Not Contacted",J146=""),"Add last contact date",IF(AND(J146&lt;&gt;"",J146&gt;Setup!$I$4),"Last contact is after review date",IF(K146="Declined","Align status with declined outcome",IF(AND(L146&lt;&gt;"",L146&gt;G146),"Follow-up is after latest start",IF(AND(L146&lt;&gt;"",L146&lt;Setup!$I$4),"Follow-up overdue",IF(AND(L146&lt;&gt;"",L146&lt;=Setup!$I$4+Setup!$I$9),"Follow-up due soon",IF(AND(J146&lt;&gt;"",Setup!$I$4-J146&gt;Setup!$I$8),"Contact may be stale",""))))))))))</f>
        <v/>
      </c>
    </row>
    <row r="147" ht="22" customHeight="1">
      <c r="A147" s="13" t="n"/>
      <c r="B147" s="14" t="n"/>
      <c r="C147" s="15" t="n"/>
      <c r="D147" s="14" t="n"/>
      <c r="E147" s="14" t="n"/>
      <c r="F147" s="14" t="n"/>
      <c r="G147" s="14" t="n"/>
      <c r="H147" s="15" t="n"/>
      <c r="I147" s="13" t="n"/>
      <c r="J147" s="14" t="n"/>
      <c r="K147" s="15" t="n"/>
      <c r="L147" s="14" t="n"/>
      <c r="M147" s="16">
        <f>IF(OR(D147="",E147=""),"",12*(YEAR(E147)-YEAR(D147))+MONTH(E147)-MONTH(D147)-IF(DAY(E147)&lt;DAY(D147),1,0))</f>
        <v/>
      </c>
      <c r="N147" s="17">
        <f>IF(M147="","",IFERROR(IF(M147&lt;=VLOOKUP(M147,Setup!$A$4:$C$7,3,TRUE),VLOOKUP(M147,Setup!$A$4:$C$7,2,TRUE),"Outside configured ranges"),"Outside configured ranges"))</f>
        <v/>
      </c>
      <c r="O147" s="16">
        <f>IF(OR(B147="",B147&gt;Setup!$I$4),"",Setup!$I$4-B147)</f>
        <v/>
      </c>
      <c r="P147" s="16">
        <f>IF(G147="","",G147-Setup!$I$4)</f>
        <v/>
      </c>
      <c r="Q147" s="27">
        <f>IF(K147="","",IFERROR(VLOOKUP(K147,Setup!$E$4:$F$9,2,FALSE),""))</f>
        <v/>
      </c>
      <c r="R147" s="17">
        <f>IF(A147="","",IF(OR(B147="",C147="",D147="",E147="",F147="",G147="",H147="",I147="",K147=""),"Incomplete",IF(COUNTIF(Setup!$K$4:$K$8,I147)=0,"Invalid status",IF(COUNTIF(Setup!$L$4:$L$8,H147)=0,"Invalid schedule",IF(COUNTIF(Setup!$E$4:$E$9,K147)=0,"Invalid contact outcome",IF(I147&lt;&gt;"Active","Not active",IF(B147&gt;Setup!$I$4,"Future waitlist date",IF(D147&gt;E147,"Invalid age/date",IF(F147&gt;G147,"Invalid window",IF(OR(E147&lt;F147,E147&gt;G147),"Preferred date outside window",IF(G147&lt;Setup!$I$4,"Window expired",IF(OR(M147="",N147="Outside configured ranges"),"Outside age bands","Ready"))))))))))))</f>
        <v/>
      </c>
      <c r="S147" s="27">
        <f>IF(R147&lt;&gt;"Ready","",ROUND(O147*Setup!$I$5+MAX(0,Setup!$I$6-MAX(0,P147))*Setup!$I$7+Q147,1))</f>
        <v/>
      </c>
      <c r="T147" s="16">
        <f>IF(S147="","",1+COUNTIFS($R$2:$R$201,"Ready",$N$2:$N$201,N147,$S$2:$S$201,"&gt;"&amp;S147)+COUNTIFS($R$2:$R$201,"Ready",$N$2:$N$201,N147,$S$2:$S$201,"="&amp;S147,$B$2:$B$201,"&lt;"&amp;B147)+COUNTIFS($R$2:$R$201,"Ready",$N$2:$N$201,N147,$S$2:$S$201,"="&amp;S147,$B$2:$B$201,"="&amp;B147,$A$2:$A$201,"&lt;"&amp;A147))</f>
        <v/>
      </c>
      <c r="U147" s="17">
        <f>IF(A147="","",IF(R147&lt;&gt;"Ready",R147,IF(AND(K147="Not Contacted",J147&lt;&gt;""),"Clear last contact date or update outcome",IF(AND(K147&lt;&gt;"Not Contacted",J147=""),"Add last contact date",IF(AND(J147&lt;&gt;"",J147&gt;Setup!$I$4),"Last contact is after review date",IF(K147="Declined","Align status with declined outcome",IF(AND(L147&lt;&gt;"",L147&gt;G147),"Follow-up is after latest start",IF(AND(L147&lt;&gt;"",L147&lt;Setup!$I$4),"Follow-up overdue",IF(AND(L147&lt;&gt;"",L147&lt;=Setup!$I$4+Setup!$I$9),"Follow-up due soon",IF(AND(J147&lt;&gt;"",Setup!$I$4-J147&gt;Setup!$I$8),"Contact may be stale",""))))))))))</f>
        <v/>
      </c>
    </row>
    <row r="148" ht="22" customHeight="1">
      <c r="A148" s="13" t="n"/>
      <c r="B148" s="14" t="n"/>
      <c r="C148" s="15" t="n"/>
      <c r="D148" s="14" t="n"/>
      <c r="E148" s="14" t="n"/>
      <c r="F148" s="14" t="n"/>
      <c r="G148" s="14" t="n"/>
      <c r="H148" s="15" t="n"/>
      <c r="I148" s="13" t="n"/>
      <c r="J148" s="14" t="n"/>
      <c r="K148" s="15" t="n"/>
      <c r="L148" s="14" t="n"/>
      <c r="M148" s="16">
        <f>IF(OR(D148="",E148=""),"",12*(YEAR(E148)-YEAR(D148))+MONTH(E148)-MONTH(D148)-IF(DAY(E148)&lt;DAY(D148),1,0))</f>
        <v/>
      </c>
      <c r="N148" s="17">
        <f>IF(M148="","",IFERROR(IF(M148&lt;=VLOOKUP(M148,Setup!$A$4:$C$7,3,TRUE),VLOOKUP(M148,Setup!$A$4:$C$7,2,TRUE),"Outside configured ranges"),"Outside configured ranges"))</f>
        <v/>
      </c>
      <c r="O148" s="16">
        <f>IF(OR(B148="",B148&gt;Setup!$I$4),"",Setup!$I$4-B148)</f>
        <v/>
      </c>
      <c r="P148" s="16">
        <f>IF(G148="","",G148-Setup!$I$4)</f>
        <v/>
      </c>
      <c r="Q148" s="27">
        <f>IF(K148="","",IFERROR(VLOOKUP(K148,Setup!$E$4:$F$9,2,FALSE),""))</f>
        <v/>
      </c>
      <c r="R148" s="17">
        <f>IF(A148="","",IF(OR(B148="",C148="",D148="",E148="",F148="",G148="",H148="",I148="",K148=""),"Incomplete",IF(COUNTIF(Setup!$K$4:$K$8,I148)=0,"Invalid status",IF(COUNTIF(Setup!$L$4:$L$8,H148)=0,"Invalid schedule",IF(COUNTIF(Setup!$E$4:$E$9,K148)=0,"Invalid contact outcome",IF(I148&lt;&gt;"Active","Not active",IF(B148&gt;Setup!$I$4,"Future waitlist date",IF(D148&gt;E148,"Invalid age/date",IF(F148&gt;G148,"Invalid window",IF(OR(E148&lt;F148,E148&gt;G148),"Preferred date outside window",IF(G148&lt;Setup!$I$4,"Window expired",IF(OR(M148="",N148="Outside configured ranges"),"Outside age bands","Ready"))))))))))))</f>
        <v/>
      </c>
      <c r="S148" s="27">
        <f>IF(R148&lt;&gt;"Ready","",ROUND(O148*Setup!$I$5+MAX(0,Setup!$I$6-MAX(0,P148))*Setup!$I$7+Q148,1))</f>
        <v/>
      </c>
      <c r="T148" s="16">
        <f>IF(S148="","",1+COUNTIFS($R$2:$R$201,"Ready",$N$2:$N$201,N148,$S$2:$S$201,"&gt;"&amp;S148)+COUNTIFS($R$2:$R$201,"Ready",$N$2:$N$201,N148,$S$2:$S$201,"="&amp;S148,$B$2:$B$201,"&lt;"&amp;B148)+COUNTIFS($R$2:$R$201,"Ready",$N$2:$N$201,N148,$S$2:$S$201,"="&amp;S148,$B$2:$B$201,"="&amp;B148,$A$2:$A$201,"&lt;"&amp;A148))</f>
        <v/>
      </c>
      <c r="U148" s="17">
        <f>IF(A148="","",IF(R148&lt;&gt;"Ready",R148,IF(AND(K148="Not Contacted",J148&lt;&gt;""),"Clear last contact date or update outcome",IF(AND(K148&lt;&gt;"Not Contacted",J148=""),"Add last contact date",IF(AND(J148&lt;&gt;"",J148&gt;Setup!$I$4),"Last contact is after review date",IF(K148="Declined","Align status with declined outcome",IF(AND(L148&lt;&gt;"",L148&gt;G148),"Follow-up is after latest start",IF(AND(L148&lt;&gt;"",L148&lt;Setup!$I$4),"Follow-up overdue",IF(AND(L148&lt;&gt;"",L148&lt;=Setup!$I$4+Setup!$I$9),"Follow-up due soon",IF(AND(J148&lt;&gt;"",Setup!$I$4-J148&gt;Setup!$I$8),"Contact may be stale",""))))))))))</f>
        <v/>
      </c>
    </row>
    <row r="149" ht="22" customHeight="1">
      <c r="A149" s="13" t="n"/>
      <c r="B149" s="14" t="n"/>
      <c r="C149" s="15" t="n"/>
      <c r="D149" s="14" t="n"/>
      <c r="E149" s="14" t="n"/>
      <c r="F149" s="14" t="n"/>
      <c r="G149" s="14" t="n"/>
      <c r="H149" s="15" t="n"/>
      <c r="I149" s="13" t="n"/>
      <c r="J149" s="14" t="n"/>
      <c r="K149" s="15" t="n"/>
      <c r="L149" s="14" t="n"/>
      <c r="M149" s="16">
        <f>IF(OR(D149="",E149=""),"",12*(YEAR(E149)-YEAR(D149))+MONTH(E149)-MONTH(D149)-IF(DAY(E149)&lt;DAY(D149),1,0))</f>
        <v/>
      </c>
      <c r="N149" s="17">
        <f>IF(M149="","",IFERROR(IF(M149&lt;=VLOOKUP(M149,Setup!$A$4:$C$7,3,TRUE),VLOOKUP(M149,Setup!$A$4:$C$7,2,TRUE),"Outside configured ranges"),"Outside configured ranges"))</f>
        <v/>
      </c>
      <c r="O149" s="16">
        <f>IF(OR(B149="",B149&gt;Setup!$I$4),"",Setup!$I$4-B149)</f>
        <v/>
      </c>
      <c r="P149" s="16">
        <f>IF(G149="","",G149-Setup!$I$4)</f>
        <v/>
      </c>
      <c r="Q149" s="27">
        <f>IF(K149="","",IFERROR(VLOOKUP(K149,Setup!$E$4:$F$9,2,FALSE),""))</f>
        <v/>
      </c>
      <c r="R149" s="17">
        <f>IF(A149="","",IF(OR(B149="",C149="",D149="",E149="",F149="",G149="",H149="",I149="",K149=""),"Incomplete",IF(COUNTIF(Setup!$K$4:$K$8,I149)=0,"Invalid status",IF(COUNTIF(Setup!$L$4:$L$8,H149)=0,"Invalid schedule",IF(COUNTIF(Setup!$E$4:$E$9,K149)=0,"Invalid contact outcome",IF(I149&lt;&gt;"Active","Not active",IF(B149&gt;Setup!$I$4,"Future waitlist date",IF(D149&gt;E149,"Invalid age/date",IF(F149&gt;G149,"Invalid window",IF(OR(E149&lt;F149,E149&gt;G149),"Preferred date outside window",IF(G149&lt;Setup!$I$4,"Window expired",IF(OR(M149="",N149="Outside configured ranges"),"Outside age bands","Ready"))))))))))))</f>
        <v/>
      </c>
      <c r="S149" s="27">
        <f>IF(R149&lt;&gt;"Ready","",ROUND(O149*Setup!$I$5+MAX(0,Setup!$I$6-MAX(0,P149))*Setup!$I$7+Q149,1))</f>
        <v/>
      </c>
      <c r="T149" s="16">
        <f>IF(S149="","",1+COUNTIFS($R$2:$R$201,"Ready",$N$2:$N$201,N149,$S$2:$S$201,"&gt;"&amp;S149)+COUNTIFS($R$2:$R$201,"Ready",$N$2:$N$201,N149,$S$2:$S$201,"="&amp;S149,$B$2:$B$201,"&lt;"&amp;B149)+COUNTIFS($R$2:$R$201,"Ready",$N$2:$N$201,N149,$S$2:$S$201,"="&amp;S149,$B$2:$B$201,"="&amp;B149,$A$2:$A$201,"&lt;"&amp;A149))</f>
        <v/>
      </c>
      <c r="U149" s="17">
        <f>IF(A149="","",IF(R149&lt;&gt;"Ready",R149,IF(AND(K149="Not Contacted",J149&lt;&gt;""),"Clear last contact date or update outcome",IF(AND(K149&lt;&gt;"Not Contacted",J149=""),"Add last contact date",IF(AND(J149&lt;&gt;"",J149&gt;Setup!$I$4),"Last contact is after review date",IF(K149="Declined","Align status with declined outcome",IF(AND(L149&lt;&gt;"",L149&gt;G149),"Follow-up is after latest start",IF(AND(L149&lt;&gt;"",L149&lt;Setup!$I$4),"Follow-up overdue",IF(AND(L149&lt;&gt;"",L149&lt;=Setup!$I$4+Setup!$I$9),"Follow-up due soon",IF(AND(J149&lt;&gt;"",Setup!$I$4-J149&gt;Setup!$I$8),"Contact may be stale",""))))))))))</f>
        <v/>
      </c>
    </row>
    <row r="150" ht="22" customHeight="1">
      <c r="A150" s="13" t="n"/>
      <c r="B150" s="14" t="n"/>
      <c r="C150" s="15" t="n"/>
      <c r="D150" s="14" t="n"/>
      <c r="E150" s="14" t="n"/>
      <c r="F150" s="14" t="n"/>
      <c r="G150" s="14" t="n"/>
      <c r="H150" s="15" t="n"/>
      <c r="I150" s="13" t="n"/>
      <c r="J150" s="14" t="n"/>
      <c r="K150" s="15" t="n"/>
      <c r="L150" s="14" t="n"/>
      <c r="M150" s="16">
        <f>IF(OR(D150="",E150=""),"",12*(YEAR(E150)-YEAR(D150))+MONTH(E150)-MONTH(D150)-IF(DAY(E150)&lt;DAY(D150),1,0))</f>
        <v/>
      </c>
      <c r="N150" s="17">
        <f>IF(M150="","",IFERROR(IF(M150&lt;=VLOOKUP(M150,Setup!$A$4:$C$7,3,TRUE),VLOOKUP(M150,Setup!$A$4:$C$7,2,TRUE),"Outside configured ranges"),"Outside configured ranges"))</f>
        <v/>
      </c>
      <c r="O150" s="16">
        <f>IF(OR(B150="",B150&gt;Setup!$I$4),"",Setup!$I$4-B150)</f>
        <v/>
      </c>
      <c r="P150" s="16">
        <f>IF(G150="","",G150-Setup!$I$4)</f>
        <v/>
      </c>
      <c r="Q150" s="27">
        <f>IF(K150="","",IFERROR(VLOOKUP(K150,Setup!$E$4:$F$9,2,FALSE),""))</f>
        <v/>
      </c>
      <c r="R150" s="17">
        <f>IF(A150="","",IF(OR(B150="",C150="",D150="",E150="",F150="",G150="",H150="",I150="",K150=""),"Incomplete",IF(COUNTIF(Setup!$K$4:$K$8,I150)=0,"Invalid status",IF(COUNTIF(Setup!$L$4:$L$8,H150)=0,"Invalid schedule",IF(COUNTIF(Setup!$E$4:$E$9,K150)=0,"Invalid contact outcome",IF(I150&lt;&gt;"Active","Not active",IF(B150&gt;Setup!$I$4,"Future waitlist date",IF(D150&gt;E150,"Invalid age/date",IF(F150&gt;G150,"Invalid window",IF(OR(E150&lt;F150,E150&gt;G150),"Preferred date outside window",IF(G150&lt;Setup!$I$4,"Window expired",IF(OR(M150="",N150="Outside configured ranges"),"Outside age bands","Ready"))))))))))))</f>
        <v/>
      </c>
      <c r="S150" s="27">
        <f>IF(R150&lt;&gt;"Ready","",ROUND(O150*Setup!$I$5+MAX(0,Setup!$I$6-MAX(0,P150))*Setup!$I$7+Q150,1))</f>
        <v/>
      </c>
      <c r="T150" s="16">
        <f>IF(S150="","",1+COUNTIFS($R$2:$R$201,"Ready",$N$2:$N$201,N150,$S$2:$S$201,"&gt;"&amp;S150)+COUNTIFS($R$2:$R$201,"Ready",$N$2:$N$201,N150,$S$2:$S$201,"="&amp;S150,$B$2:$B$201,"&lt;"&amp;B150)+COUNTIFS($R$2:$R$201,"Ready",$N$2:$N$201,N150,$S$2:$S$201,"="&amp;S150,$B$2:$B$201,"="&amp;B150,$A$2:$A$201,"&lt;"&amp;A150))</f>
        <v/>
      </c>
      <c r="U150" s="17">
        <f>IF(A150="","",IF(R150&lt;&gt;"Ready",R150,IF(AND(K150="Not Contacted",J150&lt;&gt;""),"Clear last contact date or update outcome",IF(AND(K150&lt;&gt;"Not Contacted",J150=""),"Add last contact date",IF(AND(J150&lt;&gt;"",J150&gt;Setup!$I$4),"Last contact is after review date",IF(K150="Declined","Align status with declined outcome",IF(AND(L150&lt;&gt;"",L150&gt;G150),"Follow-up is after latest start",IF(AND(L150&lt;&gt;"",L150&lt;Setup!$I$4),"Follow-up overdue",IF(AND(L150&lt;&gt;"",L150&lt;=Setup!$I$4+Setup!$I$9),"Follow-up due soon",IF(AND(J150&lt;&gt;"",Setup!$I$4-J150&gt;Setup!$I$8),"Contact may be stale",""))))))))))</f>
        <v/>
      </c>
    </row>
    <row r="151" ht="22" customHeight="1">
      <c r="A151" s="13" t="n"/>
      <c r="B151" s="14" t="n"/>
      <c r="C151" s="15" t="n"/>
      <c r="D151" s="14" t="n"/>
      <c r="E151" s="14" t="n"/>
      <c r="F151" s="14" t="n"/>
      <c r="G151" s="14" t="n"/>
      <c r="H151" s="15" t="n"/>
      <c r="I151" s="13" t="n"/>
      <c r="J151" s="14" t="n"/>
      <c r="K151" s="15" t="n"/>
      <c r="L151" s="14" t="n"/>
      <c r="M151" s="16">
        <f>IF(OR(D151="",E151=""),"",12*(YEAR(E151)-YEAR(D151))+MONTH(E151)-MONTH(D151)-IF(DAY(E151)&lt;DAY(D151),1,0))</f>
        <v/>
      </c>
      <c r="N151" s="17">
        <f>IF(M151="","",IFERROR(IF(M151&lt;=VLOOKUP(M151,Setup!$A$4:$C$7,3,TRUE),VLOOKUP(M151,Setup!$A$4:$C$7,2,TRUE),"Outside configured ranges"),"Outside configured ranges"))</f>
        <v/>
      </c>
      <c r="O151" s="16">
        <f>IF(OR(B151="",B151&gt;Setup!$I$4),"",Setup!$I$4-B151)</f>
        <v/>
      </c>
      <c r="P151" s="16">
        <f>IF(G151="","",G151-Setup!$I$4)</f>
        <v/>
      </c>
      <c r="Q151" s="27">
        <f>IF(K151="","",IFERROR(VLOOKUP(K151,Setup!$E$4:$F$9,2,FALSE),""))</f>
        <v/>
      </c>
      <c r="R151" s="17">
        <f>IF(A151="","",IF(OR(B151="",C151="",D151="",E151="",F151="",G151="",H151="",I151="",K151=""),"Incomplete",IF(COUNTIF(Setup!$K$4:$K$8,I151)=0,"Invalid status",IF(COUNTIF(Setup!$L$4:$L$8,H151)=0,"Invalid schedule",IF(COUNTIF(Setup!$E$4:$E$9,K151)=0,"Invalid contact outcome",IF(I151&lt;&gt;"Active","Not active",IF(B151&gt;Setup!$I$4,"Future waitlist date",IF(D151&gt;E151,"Invalid age/date",IF(F151&gt;G151,"Invalid window",IF(OR(E151&lt;F151,E151&gt;G151),"Preferred date outside window",IF(G151&lt;Setup!$I$4,"Window expired",IF(OR(M151="",N151="Outside configured ranges"),"Outside age bands","Ready"))))))))))))</f>
        <v/>
      </c>
      <c r="S151" s="27">
        <f>IF(R151&lt;&gt;"Ready","",ROUND(O151*Setup!$I$5+MAX(0,Setup!$I$6-MAX(0,P151))*Setup!$I$7+Q151,1))</f>
        <v/>
      </c>
      <c r="T151" s="16">
        <f>IF(S151="","",1+COUNTIFS($R$2:$R$201,"Ready",$N$2:$N$201,N151,$S$2:$S$201,"&gt;"&amp;S151)+COUNTIFS($R$2:$R$201,"Ready",$N$2:$N$201,N151,$S$2:$S$201,"="&amp;S151,$B$2:$B$201,"&lt;"&amp;B151)+COUNTIFS($R$2:$R$201,"Ready",$N$2:$N$201,N151,$S$2:$S$201,"="&amp;S151,$B$2:$B$201,"="&amp;B151,$A$2:$A$201,"&lt;"&amp;A151))</f>
        <v/>
      </c>
      <c r="U151" s="17">
        <f>IF(A151="","",IF(R151&lt;&gt;"Ready",R151,IF(AND(K151="Not Contacted",J151&lt;&gt;""),"Clear last contact date or update outcome",IF(AND(K151&lt;&gt;"Not Contacted",J151=""),"Add last contact date",IF(AND(J151&lt;&gt;"",J151&gt;Setup!$I$4),"Last contact is after review date",IF(K151="Declined","Align status with declined outcome",IF(AND(L151&lt;&gt;"",L151&gt;G151),"Follow-up is after latest start",IF(AND(L151&lt;&gt;"",L151&lt;Setup!$I$4),"Follow-up overdue",IF(AND(L151&lt;&gt;"",L151&lt;=Setup!$I$4+Setup!$I$9),"Follow-up due soon",IF(AND(J151&lt;&gt;"",Setup!$I$4-J151&gt;Setup!$I$8),"Contact may be stale",""))))))))))</f>
        <v/>
      </c>
    </row>
    <row r="152" ht="22" customHeight="1">
      <c r="A152" s="13" t="n"/>
      <c r="B152" s="14" t="n"/>
      <c r="C152" s="15" t="n"/>
      <c r="D152" s="14" t="n"/>
      <c r="E152" s="14" t="n"/>
      <c r="F152" s="14" t="n"/>
      <c r="G152" s="14" t="n"/>
      <c r="H152" s="15" t="n"/>
      <c r="I152" s="13" t="n"/>
      <c r="J152" s="14" t="n"/>
      <c r="K152" s="15" t="n"/>
      <c r="L152" s="14" t="n"/>
      <c r="M152" s="16">
        <f>IF(OR(D152="",E152=""),"",12*(YEAR(E152)-YEAR(D152))+MONTH(E152)-MONTH(D152)-IF(DAY(E152)&lt;DAY(D152),1,0))</f>
        <v/>
      </c>
      <c r="N152" s="17">
        <f>IF(M152="","",IFERROR(IF(M152&lt;=VLOOKUP(M152,Setup!$A$4:$C$7,3,TRUE),VLOOKUP(M152,Setup!$A$4:$C$7,2,TRUE),"Outside configured ranges"),"Outside configured ranges"))</f>
        <v/>
      </c>
      <c r="O152" s="16">
        <f>IF(OR(B152="",B152&gt;Setup!$I$4),"",Setup!$I$4-B152)</f>
        <v/>
      </c>
      <c r="P152" s="16">
        <f>IF(G152="","",G152-Setup!$I$4)</f>
        <v/>
      </c>
      <c r="Q152" s="27">
        <f>IF(K152="","",IFERROR(VLOOKUP(K152,Setup!$E$4:$F$9,2,FALSE),""))</f>
        <v/>
      </c>
      <c r="R152" s="17">
        <f>IF(A152="","",IF(OR(B152="",C152="",D152="",E152="",F152="",G152="",H152="",I152="",K152=""),"Incomplete",IF(COUNTIF(Setup!$K$4:$K$8,I152)=0,"Invalid status",IF(COUNTIF(Setup!$L$4:$L$8,H152)=0,"Invalid schedule",IF(COUNTIF(Setup!$E$4:$E$9,K152)=0,"Invalid contact outcome",IF(I152&lt;&gt;"Active","Not active",IF(B152&gt;Setup!$I$4,"Future waitlist date",IF(D152&gt;E152,"Invalid age/date",IF(F152&gt;G152,"Invalid window",IF(OR(E152&lt;F152,E152&gt;G152),"Preferred date outside window",IF(G152&lt;Setup!$I$4,"Window expired",IF(OR(M152="",N152="Outside configured ranges"),"Outside age bands","Ready"))))))))))))</f>
        <v/>
      </c>
      <c r="S152" s="27">
        <f>IF(R152&lt;&gt;"Ready","",ROUND(O152*Setup!$I$5+MAX(0,Setup!$I$6-MAX(0,P152))*Setup!$I$7+Q152,1))</f>
        <v/>
      </c>
      <c r="T152" s="16">
        <f>IF(S152="","",1+COUNTIFS($R$2:$R$201,"Ready",$N$2:$N$201,N152,$S$2:$S$201,"&gt;"&amp;S152)+COUNTIFS($R$2:$R$201,"Ready",$N$2:$N$201,N152,$S$2:$S$201,"="&amp;S152,$B$2:$B$201,"&lt;"&amp;B152)+COUNTIFS($R$2:$R$201,"Ready",$N$2:$N$201,N152,$S$2:$S$201,"="&amp;S152,$B$2:$B$201,"="&amp;B152,$A$2:$A$201,"&lt;"&amp;A152))</f>
        <v/>
      </c>
      <c r="U152" s="17">
        <f>IF(A152="","",IF(R152&lt;&gt;"Ready",R152,IF(AND(K152="Not Contacted",J152&lt;&gt;""),"Clear last contact date or update outcome",IF(AND(K152&lt;&gt;"Not Contacted",J152=""),"Add last contact date",IF(AND(J152&lt;&gt;"",J152&gt;Setup!$I$4),"Last contact is after review date",IF(K152="Declined","Align status with declined outcome",IF(AND(L152&lt;&gt;"",L152&gt;G152),"Follow-up is after latest start",IF(AND(L152&lt;&gt;"",L152&lt;Setup!$I$4),"Follow-up overdue",IF(AND(L152&lt;&gt;"",L152&lt;=Setup!$I$4+Setup!$I$9),"Follow-up due soon",IF(AND(J152&lt;&gt;"",Setup!$I$4-J152&gt;Setup!$I$8),"Contact may be stale",""))))))))))</f>
        <v/>
      </c>
    </row>
    <row r="153" ht="22" customHeight="1">
      <c r="A153" s="13" t="n"/>
      <c r="B153" s="14" t="n"/>
      <c r="C153" s="15" t="n"/>
      <c r="D153" s="14" t="n"/>
      <c r="E153" s="14" t="n"/>
      <c r="F153" s="14" t="n"/>
      <c r="G153" s="14" t="n"/>
      <c r="H153" s="15" t="n"/>
      <c r="I153" s="13" t="n"/>
      <c r="J153" s="14" t="n"/>
      <c r="K153" s="15" t="n"/>
      <c r="L153" s="14" t="n"/>
      <c r="M153" s="16">
        <f>IF(OR(D153="",E153=""),"",12*(YEAR(E153)-YEAR(D153))+MONTH(E153)-MONTH(D153)-IF(DAY(E153)&lt;DAY(D153),1,0))</f>
        <v/>
      </c>
      <c r="N153" s="17">
        <f>IF(M153="","",IFERROR(IF(M153&lt;=VLOOKUP(M153,Setup!$A$4:$C$7,3,TRUE),VLOOKUP(M153,Setup!$A$4:$C$7,2,TRUE),"Outside configured ranges"),"Outside configured ranges"))</f>
        <v/>
      </c>
      <c r="O153" s="16">
        <f>IF(OR(B153="",B153&gt;Setup!$I$4),"",Setup!$I$4-B153)</f>
        <v/>
      </c>
      <c r="P153" s="16">
        <f>IF(G153="","",G153-Setup!$I$4)</f>
        <v/>
      </c>
      <c r="Q153" s="27">
        <f>IF(K153="","",IFERROR(VLOOKUP(K153,Setup!$E$4:$F$9,2,FALSE),""))</f>
        <v/>
      </c>
      <c r="R153" s="17">
        <f>IF(A153="","",IF(OR(B153="",C153="",D153="",E153="",F153="",G153="",H153="",I153="",K153=""),"Incomplete",IF(COUNTIF(Setup!$K$4:$K$8,I153)=0,"Invalid status",IF(COUNTIF(Setup!$L$4:$L$8,H153)=0,"Invalid schedule",IF(COUNTIF(Setup!$E$4:$E$9,K153)=0,"Invalid contact outcome",IF(I153&lt;&gt;"Active","Not active",IF(B153&gt;Setup!$I$4,"Future waitlist date",IF(D153&gt;E153,"Invalid age/date",IF(F153&gt;G153,"Invalid window",IF(OR(E153&lt;F153,E153&gt;G153),"Preferred date outside window",IF(G153&lt;Setup!$I$4,"Window expired",IF(OR(M153="",N153="Outside configured ranges"),"Outside age bands","Ready"))))))))))))</f>
        <v/>
      </c>
      <c r="S153" s="27">
        <f>IF(R153&lt;&gt;"Ready","",ROUND(O153*Setup!$I$5+MAX(0,Setup!$I$6-MAX(0,P153))*Setup!$I$7+Q153,1))</f>
        <v/>
      </c>
      <c r="T153" s="16">
        <f>IF(S153="","",1+COUNTIFS($R$2:$R$201,"Ready",$N$2:$N$201,N153,$S$2:$S$201,"&gt;"&amp;S153)+COUNTIFS($R$2:$R$201,"Ready",$N$2:$N$201,N153,$S$2:$S$201,"="&amp;S153,$B$2:$B$201,"&lt;"&amp;B153)+COUNTIFS($R$2:$R$201,"Ready",$N$2:$N$201,N153,$S$2:$S$201,"="&amp;S153,$B$2:$B$201,"="&amp;B153,$A$2:$A$201,"&lt;"&amp;A153))</f>
        <v/>
      </c>
      <c r="U153" s="17">
        <f>IF(A153="","",IF(R153&lt;&gt;"Ready",R153,IF(AND(K153="Not Contacted",J153&lt;&gt;""),"Clear last contact date or update outcome",IF(AND(K153&lt;&gt;"Not Contacted",J153=""),"Add last contact date",IF(AND(J153&lt;&gt;"",J153&gt;Setup!$I$4),"Last contact is after review date",IF(K153="Declined","Align status with declined outcome",IF(AND(L153&lt;&gt;"",L153&gt;G153),"Follow-up is after latest start",IF(AND(L153&lt;&gt;"",L153&lt;Setup!$I$4),"Follow-up overdue",IF(AND(L153&lt;&gt;"",L153&lt;=Setup!$I$4+Setup!$I$9),"Follow-up due soon",IF(AND(J153&lt;&gt;"",Setup!$I$4-J153&gt;Setup!$I$8),"Contact may be stale",""))))))))))</f>
        <v/>
      </c>
    </row>
    <row r="154" ht="22" customHeight="1">
      <c r="A154" s="13" t="n"/>
      <c r="B154" s="14" t="n"/>
      <c r="C154" s="15" t="n"/>
      <c r="D154" s="14" t="n"/>
      <c r="E154" s="14" t="n"/>
      <c r="F154" s="14" t="n"/>
      <c r="G154" s="14" t="n"/>
      <c r="H154" s="15" t="n"/>
      <c r="I154" s="13" t="n"/>
      <c r="J154" s="14" t="n"/>
      <c r="K154" s="15" t="n"/>
      <c r="L154" s="14" t="n"/>
      <c r="M154" s="16">
        <f>IF(OR(D154="",E154=""),"",12*(YEAR(E154)-YEAR(D154))+MONTH(E154)-MONTH(D154)-IF(DAY(E154)&lt;DAY(D154),1,0))</f>
        <v/>
      </c>
      <c r="N154" s="17">
        <f>IF(M154="","",IFERROR(IF(M154&lt;=VLOOKUP(M154,Setup!$A$4:$C$7,3,TRUE),VLOOKUP(M154,Setup!$A$4:$C$7,2,TRUE),"Outside configured ranges"),"Outside configured ranges"))</f>
        <v/>
      </c>
      <c r="O154" s="16">
        <f>IF(OR(B154="",B154&gt;Setup!$I$4),"",Setup!$I$4-B154)</f>
        <v/>
      </c>
      <c r="P154" s="16">
        <f>IF(G154="","",G154-Setup!$I$4)</f>
        <v/>
      </c>
      <c r="Q154" s="27">
        <f>IF(K154="","",IFERROR(VLOOKUP(K154,Setup!$E$4:$F$9,2,FALSE),""))</f>
        <v/>
      </c>
      <c r="R154" s="17">
        <f>IF(A154="","",IF(OR(B154="",C154="",D154="",E154="",F154="",G154="",H154="",I154="",K154=""),"Incomplete",IF(COUNTIF(Setup!$K$4:$K$8,I154)=0,"Invalid status",IF(COUNTIF(Setup!$L$4:$L$8,H154)=0,"Invalid schedule",IF(COUNTIF(Setup!$E$4:$E$9,K154)=0,"Invalid contact outcome",IF(I154&lt;&gt;"Active","Not active",IF(B154&gt;Setup!$I$4,"Future waitlist date",IF(D154&gt;E154,"Invalid age/date",IF(F154&gt;G154,"Invalid window",IF(OR(E154&lt;F154,E154&gt;G154),"Preferred date outside window",IF(G154&lt;Setup!$I$4,"Window expired",IF(OR(M154="",N154="Outside configured ranges"),"Outside age bands","Ready"))))))))))))</f>
        <v/>
      </c>
      <c r="S154" s="27">
        <f>IF(R154&lt;&gt;"Ready","",ROUND(O154*Setup!$I$5+MAX(0,Setup!$I$6-MAX(0,P154))*Setup!$I$7+Q154,1))</f>
        <v/>
      </c>
      <c r="T154" s="16">
        <f>IF(S154="","",1+COUNTIFS($R$2:$R$201,"Ready",$N$2:$N$201,N154,$S$2:$S$201,"&gt;"&amp;S154)+COUNTIFS($R$2:$R$201,"Ready",$N$2:$N$201,N154,$S$2:$S$201,"="&amp;S154,$B$2:$B$201,"&lt;"&amp;B154)+COUNTIFS($R$2:$R$201,"Ready",$N$2:$N$201,N154,$S$2:$S$201,"="&amp;S154,$B$2:$B$201,"="&amp;B154,$A$2:$A$201,"&lt;"&amp;A154))</f>
        <v/>
      </c>
      <c r="U154" s="17">
        <f>IF(A154="","",IF(R154&lt;&gt;"Ready",R154,IF(AND(K154="Not Contacted",J154&lt;&gt;""),"Clear last contact date or update outcome",IF(AND(K154&lt;&gt;"Not Contacted",J154=""),"Add last contact date",IF(AND(J154&lt;&gt;"",J154&gt;Setup!$I$4),"Last contact is after review date",IF(K154="Declined","Align status with declined outcome",IF(AND(L154&lt;&gt;"",L154&gt;G154),"Follow-up is after latest start",IF(AND(L154&lt;&gt;"",L154&lt;Setup!$I$4),"Follow-up overdue",IF(AND(L154&lt;&gt;"",L154&lt;=Setup!$I$4+Setup!$I$9),"Follow-up due soon",IF(AND(J154&lt;&gt;"",Setup!$I$4-J154&gt;Setup!$I$8),"Contact may be stale",""))))))))))</f>
        <v/>
      </c>
    </row>
    <row r="155" ht="22" customHeight="1">
      <c r="A155" s="13" t="n"/>
      <c r="B155" s="14" t="n"/>
      <c r="C155" s="15" t="n"/>
      <c r="D155" s="14" t="n"/>
      <c r="E155" s="14" t="n"/>
      <c r="F155" s="14" t="n"/>
      <c r="G155" s="14" t="n"/>
      <c r="H155" s="15" t="n"/>
      <c r="I155" s="13" t="n"/>
      <c r="J155" s="14" t="n"/>
      <c r="K155" s="15" t="n"/>
      <c r="L155" s="14" t="n"/>
      <c r="M155" s="16">
        <f>IF(OR(D155="",E155=""),"",12*(YEAR(E155)-YEAR(D155))+MONTH(E155)-MONTH(D155)-IF(DAY(E155)&lt;DAY(D155),1,0))</f>
        <v/>
      </c>
      <c r="N155" s="17">
        <f>IF(M155="","",IFERROR(IF(M155&lt;=VLOOKUP(M155,Setup!$A$4:$C$7,3,TRUE),VLOOKUP(M155,Setup!$A$4:$C$7,2,TRUE),"Outside configured ranges"),"Outside configured ranges"))</f>
        <v/>
      </c>
      <c r="O155" s="16">
        <f>IF(OR(B155="",B155&gt;Setup!$I$4),"",Setup!$I$4-B155)</f>
        <v/>
      </c>
      <c r="P155" s="16">
        <f>IF(G155="","",G155-Setup!$I$4)</f>
        <v/>
      </c>
      <c r="Q155" s="27">
        <f>IF(K155="","",IFERROR(VLOOKUP(K155,Setup!$E$4:$F$9,2,FALSE),""))</f>
        <v/>
      </c>
      <c r="R155" s="17">
        <f>IF(A155="","",IF(OR(B155="",C155="",D155="",E155="",F155="",G155="",H155="",I155="",K155=""),"Incomplete",IF(COUNTIF(Setup!$K$4:$K$8,I155)=0,"Invalid status",IF(COUNTIF(Setup!$L$4:$L$8,H155)=0,"Invalid schedule",IF(COUNTIF(Setup!$E$4:$E$9,K155)=0,"Invalid contact outcome",IF(I155&lt;&gt;"Active","Not active",IF(B155&gt;Setup!$I$4,"Future waitlist date",IF(D155&gt;E155,"Invalid age/date",IF(F155&gt;G155,"Invalid window",IF(OR(E155&lt;F155,E155&gt;G155),"Preferred date outside window",IF(G155&lt;Setup!$I$4,"Window expired",IF(OR(M155="",N155="Outside configured ranges"),"Outside age bands","Ready"))))))))))))</f>
        <v/>
      </c>
      <c r="S155" s="27">
        <f>IF(R155&lt;&gt;"Ready","",ROUND(O155*Setup!$I$5+MAX(0,Setup!$I$6-MAX(0,P155))*Setup!$I$7+Q155,1))</f>
        <v/>
      </c>
      <c r="T155" s="16">
        <f>IF(S155="","",1+COUNTIFS($R$2:$R$201,"Ready",$N$2:$N$201,N155,$S$2:$S$201,"&gt;"&amp;S155)+COUNTIFS($R$2:$R$201,"Ready",$N$2:$N$201,N155,$S$2:$S$201,"="&amp;S155,$B$2:$B$201,"&lt;"&amp;B155)+COUNTIFS($R$2:$R$201,"Ready",$N$2:$N$201,N155,$S$2:$S$201,"="&amp;S155,$B$2:$B$201,"="&amp;B155,$A$2:$A$201,"&lt;"&amp;A155))</f>
        <v/>
      </c>
      <c r="U155" s="17">
        <f>IF(A155="","",IF(R155&lt;&gt;"Ready",R155,IF(AND(K155="Not Contacted",J155&lt;&gt;""),"Clear last contact date or update outcome",IF(AND(K155&lt;&gt;"Not Contacted",J155=""),"Add last contact date",IF(AND(J155&lt;&gt;"",J155&gt;Setup!$I$4),"Last contact is after review date",IF(K155="Declined","Align status with declined outcome",IF(AND(L155&lt;&gt;"",L155&gt;G155),"Follow-up is after latest start",IF(AND(L155&lt;&gt;"",L155&lt;Setup!$I$4),"Follow-up overdue",IF(AND(L155&lt;&gt;"",L155&lt;=Setup!$I$4+Setup!$I$9),"Follow-up due soon",IF(AND(J155&lt;&gt;"",Setup!$I$4-J155&gt;Setup!$I$8),"Contact may be stale",""))))))))))</f>
        <v/>
      </c>
    </row>
    <row r="156" ht="22" customHeight="1">
      <c r="A156" s="13" t="n"/>
      <c r="B156" s="14" t="n"/>
      <c r="C156" s="15" t="n"/>
      <c r="D156" s="14" t="n"/>
      <c r="E156" s="14" t="n"/>
      <c r="F156" s="14" t="n"/>
      <c r="G156" s="14" t="n"/>
      <c r="H156" s="15" t="n"/>
      <c r="I156" s="13" t="n"/>
      <c r="J156" s="14" t="n"/>
      <c r="K156" s="15" t="n"/>
      <c r="L156" s="14" t="n"/>
      <c r="M156" s="16">
        <f>IF(OR(D156="",E156=""),"",12*(YEAR(E156)-YEAR(D156))+MONTH(E156)-MONTH(D156)-IF(DAY(E156)&lt;DAY(D156),1,0))</f>
        <v/>
      </c>
      <c r="N156" s="17">
        <f>IF(M156="","",IFERROR(IF(M156&lt;=VLOOKUP(M156,Setup!$A$4:$C$7,3,TRUE),VLOOKUP(M156,Setup!$A$4:$C$7,2,TRUE),"Outside configured ranges"),"Outside configured ranges"))</f>
        <v/>
      </c>
      <c r="O156" s="16">
        <f>IF(OR(B156="",B156&gt;Setup!$I$4),"",Setup!$I$4-B156)</f>
        <v/>
      </c>
      <c r="P156" s="16">
        <f>IF(G156="","",G156-Setup!$I$4)</f>
        <v/>
      </c>
      <c r="Q156" s="27">
        <f>IF(K156="","",IFERROR(VLOOKUP(K156,Setup!$E$4:$F$9,2,FALSE),""))</f>
        <v/>
      </c>
      <c r="R156" s="17">
        <f>IF(A156="","",IF(OR(B156="",C156="",D156="",E156="",F156="",G156="",H156="",I156="",K156=""),"Incomplete",IF(COUNTIF(Setup!$K$4:$K$8,I156)=0,"Invalid status",IF(COUNTIF(Setup!$L$4:$L$8,H156)=0,"Invalid schedule",IF(COUNTIF(Setup!$E$4:$E$9,K156)=0,"Invalid contact outcome",IF(I156&lt;&gt;"Active","Not active",IF(B156&gt;Setup!$I$4,"Future waitlist date",IF(D156&gt;E156,"Invalid age/date",IF(F156&gt;G156,"Invalid window",IF(OR(E156&lt;F156,E156&gt;G156),"Preferred date outside window",IF(G156&lt;Setup!$I$4,"Window expired",IF(OR(M156="",N156="Outside configured ranges"),"Outside age bands","Ready"))))))))))))</f>
        <v/>
      </c>
      <c r="S156" s="27">
        <f>IF(R156&lt;&gt;"Ready","",ROUND(O156*Setup!$I$5+MAX(0,Setup!$I$6-MAX(0,P156))*Setup!$I$7+Q156,1))</f>
        <v/>
      </c>
      <c r="T156" s="16">
        <f>IF(S156="","",1+COUNTIFS($R$2:$R$201,"Ready",$N$2:$N$201,N156,$S$2:$S$201,"&gt;"&amp;S156)+COUNTIFS($R$2:$R$201,"Ready",$N$2:$N$201,N156,$S$2:$S$201,"="&amp;S156,$B$2:$B$201,"&lt;"&amp;B156)+COUNTIFS($R$2:$R$201,"Ready",$N$2:$N$201,N156,$S$2:$S$201,"="&amp;S156,$B$2:$B$201,"="&amp;B156,$A$2:$A$201,"&lt;"&amp;A156))</f>
        <v/>
      </c>
      <c r="U156" s="17">
        <f>IF(A156="","",IF(R156&lt;&gt;"Ready",R156,IF(AND(K156="Not Contacted",J156&lt;&gt;""),"Clear last contact date or update outcome",IF(AND(K156&lt;&gt;"Not Contacted",J156=""),"Add last contact date",IF(AND(J156&lt;&gt;"",J156&gt;Setup!$I$4),"Last contact is after review date",IF(K156="Declined","Align status with declined outcome",IF(AND(L156&lt;&gt;"",L156&gt;G156),"Follow-up is after latest start",IF(AND(L156&lt;&gt;"",L156&lt;Setup!$I$4),"Follow-up overdue",IF(AND(L156&lt;&gt;"",L156&lt;=Setup!$I$4+Setup!$I$9),"Follow-up due soon",IF(AND(J156&lt;&gt;"",Setup!$I$4-J156&gt;Setup!$I$8),"Contact may be stale",""))))))))))</f>
        <v/>
      </c>
    </row>
    <row r="157" ht="22" customHeight="1">
      <c r="A157" s="13" t="n"/>
      <c r="B157" s="14" t="n"/>
      <c r="C157" s="15" t="n"/>
      <c r="D157" s="14" t="n"/>
      <c r="E157" s="14" t="n"/>
      <c r="F157" s="14" t="n"/>
      <c r="G157" s="14" t="n"/>
      <c r="H157" s="15" t="n"/>
      <c r="I157" s="13" t="n"/>
      <c r="J157" s="14" t="n"/>
      <c r="K157" s="15" t="n"/>
      <c r="L157" s="14" t="n"/>
      <c r="M157" s="16">
        <f>IF(OR(D157="",E157=""),"",12*(YEAR(E157)-YEAR(D157))+MONTH(E157)-MONTH(D157)-IF(DAY(E157)&lt;DAY(D157),1,0))</f>
        <v/>
      </c>
      <c r="N157" s="17">
        <f>IF(M157="","",IFERROR(IF(M157&lt;=VLOOKUP(M157,Setup!$A$4:$C$7,3,TRUE),VLOOKUP(M157,Setup!$A$4:$C$7,2,TRUE),"Outside configured ranges"),"Outside configured ranges"))</f>
        <v/>
      </c>
      <c r="O157" s="16">
        <f>IF(OR(B157="",B157&gt;Setup!$I$4),"",Setup!$I$4-B157)</f>
        <v/>
      </c>
      <c r="P157" s="16">
        <f>IF(G157="","",G157-Setup!$I$4)</f>
        <v/>
      </c>
      <c r="Q157" s="27">
        <f>IF(K157="","",IFERROR(VLOOKUP(K157,Setup!$E$4:$F$9,2,FALSE),""))</f>
        <v/>
      </c>
      <c r="R157" s="17">
        <f>IF(A157="","",IF(OR(B157="",C157="",D157="",E157="",F157="",G157="",H157="",I157="",K157=""),"Incomplete",IF(COUNTIF(Setup!$K$4:$K$8,I157)=0,"Invalid status",IF(COUNTIF(Setup!$L$4:$L$8,H157)=0,"Invalid schedule",IF(COUNTIF(Setup!$E$4:$E$9,K157)=0,"Invalid contact outcome",IF(I157&lt;&gt;"Active","Not active",IF(B157&gt;Setup!$I$4,"Future waitlist date",IF(D157&gt;E157,"Invalid age/date",IF(F157&gt;G157,"Invalid window",IF(OR(E157&lt;F157,E157&gt;G157),"Preferred date outside window",IF(G157&lt;Setup!$I$4,"Window expired",IF(OR(M157="",N157="Outside configured ranges"),"Outside age bands","Ready"))))))))))))</f>
        <v/>
      </c>
      <c r="S157" s="27">
        <f>IF(R157&lt;&gt;"Ready","",ROUND(O157*Setup!$I$5+MAX(0,Setup!$I$6-MAX(0,P157))*Setup!$I$7+Q157,1))</f>
        <v/>
      </c>
      <c r="T157" s="16">
        <f>IF(S157="","",1+COUNTIFS($R$2:$R$201,"Ready",$N$2:$N$201,N157,$S$2:$S$201,"&gt;"&amp;S157)+COUNTIFS($R$2:$R$201,"Ready",$N$2:$N$201,N157,$S$2:$S$201,"="&amp;S157,$B$2:$B$201,"&lt;"&amp;B157)+COUNTIFS($R$2:$R$201,"Ready",$N$2:$N$201,N157,$S$2:$S$201,"="&amp;S157,$B$2:$B$201,"="&amp;B157,$A$2:$A$201,"&lt;"&amp;A157))</f>
        <v/>
      </c>
      <c r="U157" s="17">
        <f>IF(A157="","",IF(R157&lt;&gt;"Ready",R157,IF(AND(K157="Not Contacted",J157&lt;&gt;""),"Clear last contact date or update outcome",IF(AND(K157&lt;&gt;"Not Contacted",J157=""),"Add last contact date",IF(AND(J157&lt;&gt;"",J157&gt;Setup!$I$4),"Last contact is after review date",IF(K157="Declined","Align status with declined outcome",IF(AND(L157&lt;&gt;"",L157&gt;G157),"Follow-up is after latest start",IF(AND(L157&lt;&gt;"",L157&lt;Setup!$I$4),"Follow-up overdue",IF(AND(L157&lt;&gt;"",L157&lt;=Setup!$I$4+Setup!$I$9),"Follow-up due soon",IF(AND(J157&lt;&gt;"",Setup!$I$4-J157&gt;Setup!$I$8),"Contact may be stale",""))))))))))</f>
        <v/>
      </c>
    </row>
    <row r="158" ht="22" customHeight="1">
      <c r="A158" s="13" t="n"/>
      <c r="B158" s="14" t="n"/>
      <c r="C158" s="15" t="n"/>
      <c r="D158" s="14" t="n"/>
      <c r="E158" s="14" t="n"/>
      <c r="F158" s="14" t="n"/>
      <c r="G158" s="14" t="n"/>
      <c r="H158" s="15" t="n"/>
      <c r="I158" s="13" t="n"/>
      <c r="J158" s="14" t="n"/>
      <c r="K158" s="15" t="n"/>
      <c r="L158" s="14" t="n"/>
      <c r="M158" s="16">
        <f>IF(OR(D158="",E158=""),"",12*(YEAR(E158)-YEAR(D158))+MONTH(E158)-MONTH(D158)-IF(DAY(E158)&lt;DAY(D158),1,0))</f>
        <v/>
      </c>
      <c r="N158" s="17">
        <f>IF(M158="","",IFERROR(IF(M158&lt;=VLOOKUP(M158,Setup!$A$4:$C$7,3,TRUE),VLOOKUP(M158,Setup!$A$4:$C$7,2,TRUE),"Outside configured ranges"),"Outside configured ranges"))</f>
        <v/>
      </c>
      <c r="O158" s="16">
        <f>IF(OR(B158="",B158&gt;Setup!$I$4),"",Setup!$I$4-B158)</f>
        <v/>
      </c>
      <c r="P158" s="16">
        <f>IF(G158="","",G158-Setup!$I$4)</f>
        <v/>
      </c>
      <c r="Q158" s="27">
        <f>IF(K158="","",IFERROR(VLOOKUP(K158,Setup!$E$4:$F$9,2,FALSE),""))</f>
        <v/>
      </c>
      <c r="R158" s="17">
        <f>IF(A158="","",IF(OR(B158="",C158="",D158="",E158="",F158="",G158="",H158="",I158="",K158=""),"Incomplete",IF(COUNTIF(Setup!$K$4:$K$8,I158)=0,"Invalid status",IF(COUNTIF(Setup!$L$4:$L$8,H158)=0,"Invalid schedule",IF(COUNTIF(Setup!$E$4:$E$9,K158)=0,"Invalid contact outcome",IF(I158&lt;&gt;"Active","Not active",IF(B158&gt;Setup!$I$4,"Future waitlist date",IF(D158&gt;E158,"Invalid age/date",IF(F158&gt;G158,"Invalid window",IF(OR(E158&lt;F158,E158&gt;G158),"Preferred date outside window",IF(G158&lt;Setup!$I$4,"Window expired",IF(OR(M158="",N158="Outside configured ranges"),"Outside age bands","Ready"))))))))))))</f>
        <v/>
      </c>
      <c r="S158" s="27">
        <f>IF(R158&lt;&gt;"Ready","",ROUND(O158*Setup!$I$5+MAX(0,Setup!$I$6-MAX(0,P158))*Setup!$I$7+Q158,1))</f>
        <v/>
      </c>
      <c r="T158" s="16">
        <f>IF(S158="","",1+COUNTIFS($R$2:$R$201,"Ready",$N$2:$N$201,N158,$S$2:$S$201,"&gt;"&amp;S158)+COUNTIFS($R$2:$R$201,"Ready",$N$2:$N$201,N158,$S$2:$S$201,"="&amp;S158,$B$2:$B$201,"&lt;"&amp;B158)+COUNTIFS($R$2:$R$201,"Ready",$N$2:$N$201,N158,$S$2:$S$201,"="&amp;S158,$B$2:$B$201,"="&amp;B158,$A$2:$A$201,"&lt;"&amp;A158))</f>
        <v/>
      </c>
      <c r="U158" s="17">
        <f>IF(A158="","",IF(R158&lt;&gt;"Ready",R158,IF(AND(K158="Not Contacted",J158&lt;&gt;""),"Clear last contact date or update outcome",IF(AND(K158&lt;&gt;"Not Contacted",J158=""),"Add last contact date",IF(AND(J158&lt;&gt;"",J158&gt;Setup!$I$4),"Last contact is after review date",IF(K158="Declined","Align status with declined outcome",IF(AND(L158&lt;&gt;"",L158&gt;G158),"Follow-up is after latest start",IF(AND(L158&lt;&gt;"",L158&lt;Setup!$I$4),"Follow-up overdue",IF(AND(L158&lt;&gt;"",L158&lt;=Setup!$I$4+Setup!$I$9),"Follow-up due soon",IF(AND(J158&lt;&gt;"",Setup!$I$4-J158&gt;Setup!$I$8),"Contact may be stale",""))))))))))</f>
        <v/>
      </c>
    </row>
    <row r="159" ht="22" customHeight="1">
      <c r="A159" s="13" t="n"/>
      <c r="B159" s="14" t="n"/>
      <c r="C159" s="15" t="n"/>
      <c r="D159" s="14" t="n"/>
      <c r="E159" s="14" t="n"/>
      <c r="F159" s="14" t="n"/>
      <c r="G159" s="14" t="n"/>
      <c r="H159" s="15" t="n"/>
      <c r="I159" s="13" t="n"/>
      <c r="J159" s="14" t="n"/>
      <c r="K159" s="15" t="n"/>
      <c r="L159" s="14" t="n"/>
      <c r="M159" s="16">
        <f>IF(OR(D159="",E159=""),"",12*(YEAR(E159)-YEAR(D159))+MONTH(E159)-MONTH(D159)-IF(DAY(E159)&lt;DAY(D159),1,0))</f>
        <v/>
      </c>
      <c r="N159" s="17">
        <f>IF(M159="","",IFERROR(IF(M159&lt;=VLOOKUP(M159,Setup!$A$4:$C$7,3,TRUE),VLOOKUP(M159,Setup!$A$4:$C$7,2,TRUE),"Outside configured ranges"),"Outside configured ranges"))</f>
        <v/>
      </c>
      <c r="O159" s="16">
        <f>IF(OR(B159="",B159&gt;Setup!$I$4),"",Setup!$I$4-B159)</f>
        <v/>
      </c>
      <c r="P159" s="16">
        <f>IF(G159="","",G159-Setup!$I$4)</f>
        <v/>
      </c>
      <c r="Q159" s="27">
        <f>IF(K159="","",IFERROR(VLOOKUP(K159,Setup!$E$4:$F$9,2,FALSE),""))</f>
        <v/>
      </c>
      <c r="R159" s="17">
        <f>IF(A159="","",IF(OR(B159="",C159="",D159="",E159="",F159="",G159="",H159="",I159="",K159=""),"Incomplete",IF(COUNTIF(Setup!$K$4:$K$8,I159)=0,"Invalid status",IF(COUNTIF(Setup!$L$4:$L$8,H159)=0,"Invalid schedule",IF(COUNTIF(Setup!$E$4:$E$9,K159)=0,"Invalid contact outcome",IF(I159&lt;&gt;"Active","Not active",IF(B159&gt;Setup!$I$4,"Future waitlist date",IF(D159&gt;E159,"Invalid age/date",IF(F159&gt;G159,"Invalid window",IF(OR(E159&lt;F159,E159&gt;G159),"Preferred date outside window",IF(G159&lt;Setup!$I$4,"Window expired",IF(OR(M159="",N159="Outside configured ranges"),"Outside age bands","Ready"))))))))))))</f>
        <v/>
      </c>
      <c r="S159" s="27">
        <f>IF(R159&lt;&gt;"Ready","",ROUND(O159*Setup!$I$5+MAX(0,Setup!$I$6-MAX(0,P159))*Setup!$I$7+Q159,1))</f>
        <v/>
      </c>
      <c r="T159" s="16">
        <f>IF(S159="","",1+COUNTIFS($R$2:$R$201,"Ready",$N$2:$N$201,N159,$S$2:$S$201,"&gt;"&amp;S159)+COUNTIFS($R$2:$R$201,"Ready",$N$2:$N$201,N159,$S$2:$S$201,"="&amp;S159,$B$2:$B$201,"&lt;"&amp;B159)+COUNTIFS($R$2:$R$201,"Ready",$N$2:$N$201,N159,$S$2:$S$201,"="&amp;S159,$B$2:$B$201,"="&amp;B159,$A$2:$A$201,"&lt;"&amp;A159))</f>
        <v/>
      </c>
      <c r="U159" s="17">
        <f>IF(A159="","",IF(R159&lt;&gt;"Ready",R159,IF(AND(K159="Not Contacted",J159&lt;&gt;""),"Clear last contact date or update outcome",IF(AND(K159&lt;&gt;"Not Contacted",J159=""),"Add last contact date",IF(AND(J159&lt;&gt;"",J159&gt;Setup!$I$4),"Last contact is after review date",IF(K159="Declined","Align status with declined outcome",IF(AND(L159&lt;&gt;"",L159&gt;G159),"Follow-up is after latest start",IF(AND(L159&lt;&gt;"",L159&lt;Setup!$I$4),"Follow-up overdue",IF(AND(L159&lt;&gt;"",L159&lt;=Setup!$I$4+Setup!$I$9),"Follow-up due soon",IF(AND(J159&lt;&gt;"",Setup!$I$4-J159&gt;Setup!$I$8),"Contact may be stale",""))))))))))</f>
        <v/>
      </c>
    </row>
    <row r="160" ht="22" customHeight="1">
      <c r="A160" s="13" t="n"/>
      <c r="B160" s="14" t="n"/>
      <c r="C160" s="15" t="n"/>
      <c r="D160" s="14" t="n"/>
      <c r="E160" s="14" t="n"/>
      <c r="F160" s="14" t="n"/>
      <c r="G160" s="14" t="n"/>
      <c r="H160" s="15" t="n"/>
      <c r="I160" s="13" t="n"/>
      <c r="J160" s="14" t="n"/>
      <c r="K160" s="15" t="n"/>
      <c r="L160" s="14" t="n"/>
      <c r="M160" s="16">
        <f>IF(OR(D160="",E160=""),"",12*(YEAR(E160)-YEAR(D160))+MONTH(E160)-MONTH(D160)-IF(DAY(E160)&lt;DAY(D160),1,0))</f>
        <v/>
      </c>
      <c r="N160" s="17">
        <f>IF(M160="","",IFERROR(IF(M160&lt;=VLOOKUP(M160,Setup!$A$4:$C$7,3,TRUE),VLOOKUP(M160,Setup!$A$4:$C$7,2,TRUE),"Outside configured ranges"),"Outside configured ranges"))</f>
        <v/>
      </c>
      <c r="O160" s="16">
        <f>IF(OR(B160="",B160&gt;Setup!$I$4),"",Setup!$I$4-B160)</f>
        <v/>
      </c>
      <c r="P160" s="16">
        <f>IF(G160="","",G160-Setup!$I$4)</f>
        <v/>
      </c>
      <c r="Q160" s="27">
        <f>IF(K160="","",IFERROR(VLOOKUP(K160,Setup!$E$4:$F$9,2,FALSE),""))</f>
        <v/>
      </c>
      <c r="R160" s="17">
        <f>IF(A160="","",IF(OR(B160="",C160="",D160="",E160="",F160="",G160="",H160="",I160="",K160=""),"Incomplete",IF(COUNTIF(Setup!$K$4:$K$8,I160)=0,"Invalid status",IF(COUNTIF(Setup!$L$4:$L$8,H160)=0,"Invalid schedule",IF(COUNTIF(Setup!$E$4:$E$9,K160)=0,"Invalid contact outcome",IF(I160&lt;&gt;"Active","Not active",IF(B160&gt;Setup!$I$4,"Future waitlist date",IF(D160&gt;E160,"Invalid age/date",IF(F160&gt;G160,"Invalid window",IF(OR(E160&lt;F160,E160&gt;G160),"Preferred date outside window",IF(G160&lt;Setup!$I$4,"Window expired",IF(OR(M160="",N160="Outside configured ranges"),"Outside age bands","Ready"))))))))))))</f>
        <v/>
      </c>
      <c r="S160" s="27">
        <f>IF(R160&lt;&gt;"Ready","",ROUND(O160*Setup!$I$5+MAX(0,Setup!$I$6-MAX(0,P160))*Setup!$I$7+Q160,1))</f>
        <v/>
      </c>
      <c r="T160" s="16">
        <f>IF(S160="","",1+COUNTIFS($R$2:$R$201,"Ready",$N$2:$N$201,N160,$S$2:$S$201,"&gt;"&amp;S160)+COUNTIFS($R$2:$R$201,"Ready",$N$2:$N$201,N160,$S$2:$S$201,"="&amp;S160,$B$2:$B$201,"&lt;"&amp;B160)+COUNTIFS($R$2:$R$201,"Ready",$N$2:$N$201,N160,$S$2:$S$201,"="&amp;S160,$B$2:$B$201,"="&amp;B160,$A$2:$A$201,"&lt;"&amp;A160))</f>
        <v/>
      </c>
      <c r="U160" s="17">
        <f>IF(A160="","",IF(R160&lt;&gt;"Ready",R160,IF(AND(K160="Not Contacted",J160&lt;&gt;""),"Clear last contact date or update outcome",IF(AND(K160&lt;&gt;"Not Contacted",J160=""),"Add last contact date",IF(AND(J160&lt;&gt;"",J160&gt;Setup!$I$4),"Last contact is after review date",IF(K160="Declined","Align status with declined outcome",IF(AND(L160&lt;&gt;"",L160&gt;G160),"Follow-up is after latest start",IF(AND(L160&lt;&gt;"",L160&lt;Setup!$I$4),"Follow-up overdue",IF(AND(L160&lt;&gt;"",L160&lt;=Setup!$I$4+Setup!$I$9),"Follow-up due soon",IF(AND(J160&lt;&gt;"",Setup!$I$4-J160&gt;Setup!$I$8),"Contact may be stale",""))))))))))</f>
        <v/>
      </c>
    </row>
    <row r="161" ht="22" customHeight="1">
      <c r="A161" s="13" t="n"/>
      <c r="B161" s="14" t="n"/>
      <c r="C161" s="15" t="n"/>
      <c r="D161" s="14" t="n"/>
      <c r="E161" s="14" t="n"/>
      <c r="F161" s="14" t="n"/>
      <c r="G161" s="14" t="n"/>
      <c r="H161" s="15" t="n"/>
      <c r="I161" s="13" t="n"/>
      <c r="J161" s="14" t="n"/>
      <c r="K161" s="15" t="n"/>
      <c r="L161" s="14" t="n"/>
      <c r="M161" s="16">
        <f>IF(OR(D161="",E161=""),"",12*(YEAR(E161)-YEAR(D161))+MONTH(E161)-MONTH(D161)-IF(DAY(E161)&lt;DAY(D161),1,0))</f>
        <v/>
      </c>
      <c r="N161" s="17">
        <f>IF(M161="","",IFERROR(IF(M161&lt;=VLOOKUP(M161,Setup!$A$4:$C$7,3,TRUE),VLOOKUP(M161,Setup!$A$4:$C$7,2,TRUE),"Outside configured ranges"),"Outside configured ranges"))</f>
        <v/>
      </c>
      <c r="O161" s="16">
        <f>IF(OR(B161="",B161&gt;Setup!$I$4),"",Setup!$I$4-B161)</f>
        <v/>
      </c>
      <c r="P161" s="16">
        <f>IF(G161="","",G161-Setup!$I$4)</f>
        <v/>
      </c>
      <c r="Q161" s="27">
        <f>IF(K161="","",IFERROR(VLOOKUP(K161,Setup!$E$4:$F$9,2,FALSE),""))</f>
        <v/>
      </c>
      <c r="R161" s="17">
        <f>IF(A161="","",IF(OR(B161="",C161="",D161="",E161="",F161="",G161="",H161="",I161="",K161=""),"Incomplete",IF(COUNTIF(Setup!$K$4:$K$8,I161)=0,"Invalid status",IF(COUNTIF(Setup!$L$4:$L$8,H161)=0,"Invalid schedule",IF(COUNTIF(Setup!$E$4:$E$9,K161)=0,"Invalid contact outcome",IF(I161&lt;&gt;"Active","Not active",IF(B161&gt;Setup!$I$4,"Future waitlist date",IF(D161&gt;E161,"Invalid age/date",IF(F161&gt;G161,"Invalid window",IF(OR(E161&lt;F161,E161&gt;G161),"Preferred date outside window",IF(G161&lt;Setup!$I$4,"Window expired",IF(OR(M161="",N161="Outside configured ranges"),"Outside age bands","Ready"))))))))))))</f>
        <v/>
      </c>
      <c r="S161" s="27">
        <f>IF(R161&lt;&gt;"Ready","",ROUND(O161*Setup!$I$5+MAX(0,Setup!$I$6-MAX(0,P161))*Setup!$I$7+Q161,1))</f>
        <v/>
      </c>
      <c r="T161" s="16">
        <f>IF(S161="","",1+COUNTIFS($R$2:$R$201,"Ready",$N$2:$N$201,N161,$S$2:$S$201,"&gt;"&amp;S161)+COUNTIFS($R$2:$R$201,"Ready",$N$2:$N$201,N161,$S$2:$S$201,"="&amp;S161,$B$2:$B$201,"&lt;"&amp;B161)+COUNTIFS($R$2:$R$201,"Ready",$N$2:$N$201,N161,$S$2:$S$201,"="&amp;S161,$B$2:$B$201,"="&amp;B161,$A$2:$A$201,"&lt;"&amp;A161))</f>
        <v/>
      </c>
      <c r="U161" s="17">
        <f>IF(A161="","",IF(R161&lt;&gt;"Ready",R161,IF(AND(K161="Not Contacted",J161&lt;&gt;""),"Clear last contact date or update outcome",IF(AND(K161&lt;&gt;"Not Contacted",J161=""),"Add last contact date",IF(AND(J161&lt;&gt;"",J161&gt;Setup!$I$4),"Last contact is after review date",IF(K161="Declined","Align status with declined outcome",IF(AND(L161&lt;&gt;"",L161&gt;G161),"Follow-up is after latest start",IF(AND(L161&lt;&gt;"",L161&lt;Setup!$I$4),"Follow-up overdue",IF(AND(L161&lt;&gt;"",L161&lt;=Setup!$I$4+Setup!$I$9),"Follow-up due soon",IF(AND(J161&lt;&gt;"",Setup!$I$4-J161&gt;Setup!$I$8),"Contact may be stale",""))))))))))</f>
        <v/>
      </c>
    </row>
    <row r="162" ht="22" customHeight="1">
      <c r="A162" s="13" t="n"/>
      <c r="B162" s="14" t="n"/>
      <c r="C162" s="15" t="n"/>
      <c r="D162" s="14" t="n"/>
      <c r="E162" s="14" t="n"/>
      <c r="F162" s="14" t="n"/>
      <c r="G162" s="14" t="n"/>
      <c r="H162" s="15" t="n"/>
      <c r="I162" s="13" t="n"/>
      <c r="J162" s="14" t="n"/>
      <c r="K162" s="15" t="n"/>
      <c r="L162" s="14" t="n"/>
      <c r="M162" s="16">
        <f>IF(OR(D162="",E162=""),"",12*(YEAR(E162)-YEAR(D162))+MONTH(E162)-MONTH(D162)-IF(DAY(E162)&lt;DAY(D162),1,0))</f>
        <v/>
      </c>
      <c r="N162" s="17">
        <f>IF(M162="","",IFERROR(IF(M162&lt;=VLOOKUP(M162,Setup!$A$4:$C$7,3,TRUE),VLOOKUP(M162,Setup!$A$4:$C$7,2,TRUE),"Outside configured ranges"),"Outside configured ranges"))</f>
        <v/>
      </c>
      <c r="O162" s="16">
        <f>IF(OR(B162="",B162&gt;Setup!$I$4),"",Setup!$I$4-B162)</f>
        <v/>
      </c>
      <c r="P162" s="16">
        <f>IF(G162="","",G162-Setup!$I$4)</f>
        <v/>
      </c>
      <c r="Q162" s="27">
        <f>IF(K162="","",IFERROR(VLOOKUP(K162,Setup!$E$4:$F$9,2,FALSE),""))</f>
        <v/>
      </c>
      <c r="R162" s="17">
        <f>IF(A162="","",IF(OR(B162="",C162="",D162="",E162="",F162="",G162="",H162="",I162="",K162=""),"Incomplete",IF(COUNTIF(Setup!$K$4:$K$8,I162)=0,"Invalid status",IF(COUNTIF(Setup!$L$4:$L$8,H162)=0,"Invalid schedule",IF(COUNTIF(Setup!$E$4:$E$9,K162)=0,"Invalid contact outcome",IF(I162&lt;&gt;"Active","Not active",IF(B162&gt;Setup!$I$4,"Future waitlist date",IF(D162&gt;E162,"Invalid age/date",IF(F162&gt;G162,"Invalid window",IF(OR(E162&lt;F162,E162&gt;G162),"Preferred date outside window",IF(G162&lt;Setup!$I$4,"Window expired",IF(OR(M162="",N162="Outside configured ranges"),"Outside age bands","Ready"))))))))))))</f>
        <v/>
      </c>
      <c r="S162" s="27">
        <f>IF(R162&lt;&gt;"Ready","",ROUND(O162*Setup!$I$5+MAX(0,Setup!$I$6-MAX(0,P162))*Setup!$I$7+Q162,1))</f>
        <v/>
      </c>
      <c r="T162" s="16">
        <f>IF(S162="","",1+COUNTIFS($R$2:$R$201,"Ready",$N$2:$N$201,N162,$S$2:$S$201,"&gt;"&amp;S162)+COUNTIFS($R$2:$R$201,"Ready",$N$2:$N$201,N162,$S$2:$S$201,"="&amp;S162,$B$2:$B$201,"&lt;"&amp;B162)+COUNTIFS($R$2:$R$201,"Ready",$N$2:$N$201,N162,$S$2:$S$201,"="&amp;S162,$B$2:$B$201,"="&amp;B162,$A$2:$A$201,"&lt;"&amp;A162))</f>
        <v/>
      </c>
      <c r="U162" s="17">
        <f>IF(A162="","",IF(R162&lt;&gt;"Ready",R162,IF(AND(K162="Not Contacted",J162&lt;&gt;""),"Clear last contact date or update outcome",IF(AND(K162&lt;&gt;"Not Contacted",J162=""),"Add last contact date",IF(AND(J162&lt;&gt;"",J162&gt;Setup!$I$4),"Last contact is after review date",IF(K162="Declined","Align status with declined outcome",IF(AND(L162&lt;&gt;"",L162&gt;G162),"Follow-up is after latest start",IF(AND(L162&lt;&gt;"",L162&lt;Setup!$I$4),"Follow-up overdue",IF(AND(L162&lt;&gt;"",L162&lt;=Setup!$I$4+Setup!$I$9),"Follow-up due soon",IF(AND(J162&lt;&gt;"",Setup!$I$4-J162&gt;Setup!$I$8),"Contact may be stale",""))))))))))</f>
        <v/>
      </c>
    </row>
    <row r="163" ht="22" customHeight="1">
      <c r="A163" s="13" t="n"/>
      <c r="B163" s="14" t="n"/>
      <c r="C163" s="15" t="n"/>
      <c r="D163" s="14" t="n"/>
      <c r="E163" s="14" t="n"/>
      <c r="F163" s="14" t="n"/>
      <c r="G163" s="14" t="n"/>
      <c r="H163" s="15" t="n"/>
      <c r="I163" s="13" t="n"/>
      <c r="J163" s="14" t="n"/>
      <c r="K163" s="15" t="n"/>
      <c r="L163" s="14" t="n"/>
      <c r="M163" s="16">
        <f>IF(OR(D163="",E163=""),"",12*(YEAR(E163)-YEAR(D163))+MONTH(E163)-MONTH(D163)-IF(DAY(E163)&lt;DAY(D163),1,0))</f>
        <v/>
      </c>
      <c r="N163" s="17">
        <f>IF(M163="","",IFERROR(IF(M163&lt;=VLOOKUP(M163,Setup!$A$4:$C$7,3,TRUE),VLOOKUP(M163,Setup!$A$4:$C$7,2,TRUE),"Outside configured ranges"),"Outside configured ranges"))</f>
        <v/>
      </c>
      <c r="O163" s="16">
        <f>IF(OR(B163="",B163&gt;Setup!$I$4),"",Setup!$I$4-B163)</f>
        <v/>
      </c>
      <c r="P163" s="16">
        <f>IF(G163="","",G163-Setup!$I$4)</f>
        <v/>
      </c>
      <c r="Q163" s="27">
        <f>IF(K163="","",IFERROR(VLOOKUP(K163,Setup!$E$4:$F$9,2,FALSE),""))</f>
        <v/>
      </c>
      <c r="R163" s="17">
        <f>IF(A163="","",IF(OR(B163="",C163="",D163="",E163="",F163="",G163="",H163="",I163="",K163=""),"Incomplete",IF(COUNTIF(Setup!$K$4:$K$8,I163)=0,"Invalid status",IF(COUNTIF(Setup!$L$4:$L$8,H163)=0,"Invalid schedule",IF(COUNTIF(Setup!$E$4:$E$9,K163)=0,"Invalid contact outcome",IF(I163&lt;&gt;"Active","Not active",IF(B163&gt;Setup!$I$4,"Future waitlist date",IF(D163&gt;E163,"Invalid age/date",IF(F163&gt;G163,"Invalid window",IF(OR(E163&lt;F163,E163&gt;G163),"Preferred date outside window",IF(G163&lt;Setup!$I$4,"Window expired",IF(OR(M163="",N163="Outside configured ranges"),"Outside age bands","Ready"))))))))))))</f>
        <v/>
      </c>
      <c r="S163" s="27">
        <f>IF(R163&lt;&gt;"Ready","",ROUND(O163*Setup!$I$5+MAX(0,Setup!$I$6-MAX(0,P163))*Setup!$I$7+Q163,1))</f>
        <v/>
      </c>
      <c r="T163" s="16">
        <f>IF(S163="","",1+COUNTIFS($R$2:$R$201,"Ready",$N$2:$N$201,N163,$S$2:$S$201,"&gt;"&amp;S163)+COUNTIFS($R$2:$R$201,"Ready",$N$2:$N$201,N163,$S$2:$S$201,"="&amp;S163,$B$2:$B$201,"&lt;"&amp;B163)+COUNTIFS($R$2:$R$201,"Ready",$N$2:$N$201,N163,$S$2:$S$201,"="&amp;S163,$B$2:$B$201,"="&amp;B163,$A$2:$A$201,"&lt;"&amp;A163))</f>
        <v/>
      </c>
      <c r="U163" s="17">
        <f>IF(A163="","",IF(R163&lt;&gt;"Ready",R163,IF(AND(K163="Not Contacted",J163&lt;&gt;""),"Clear last contact date or update outcome",IF(AND(K163&lt;&gt;"Not Contacted",J163=""),"Add last contact date",IF(AND(J163&lt;&gt;"",J163&gt;Setup!$I$4),"Last contact is after review date",IF(K163="Declined","Align status with declined outcome",IF(AND(L163&lt;&gt;"",L163&gt;G163),"Follow-up is after latest start",IF(AND(L163&lt;&gt;"",L163&lt;Setup!$I$4),"Follow-up overdue",IF(AND(L163&lt;&gt;"",L163&lt;=Setup!$I$4+Setup!$I$9),"Follow-up due soon",IF(AND(J163&lt;&gt;"",Setup!$I$4-J163&gt;Setup!$I$8),"Contact may be stale",""))))))))))</f>
        <v/>
      </c>
    </row>
    <row r="164" ht="22" customHeight="1">
      <c r="A164" s="13" t="n"/>
      <c r="B164" s="14" t="n"/>
      <c r="C164" s="15" t="n"/>
      <c r="D164" s="14" t="n"/>
      <c r="E164" s="14" t="n"/>
      <c r="F164" s="14" t="n"/>
      <c r="G164" s="14" t="n"/>
      <c r="H164" s="15" t="n"/>
      <c r="I164" s="13" t="n"/>
      <c r="J164" s="14" t="n"/>
      <c r="K164" s="15" t="n"/>
      <c r="L164" s="14" t="n"/>
      <c r="M164" s="16">
        <f>IF(OR(D164="",E164=""),"",12*(YEAR(E164)-YEAR(D164))+MONTH(E164)-MONTH(D164)-IF(DAY(E164)&lt;DAY(D164),1,0))</f>
        <v/>
      </c>
      <c r="N164" s="17">
        <f>IF(M164="","",IFERROR(IF(M164&lt;=VLOOKUP(M164,Setup!$A$4:$C$7,3,TRUE),VLOOKUP(M164,Setup!$A$4:$C$7,2,TRUE),"Outside configured ranges"),"Outside configured ranges"))</f>
        <v/>
      </c>
      <c r="O164" s="16">
        <f>IF(OR(B164="",B164&gt;Setup!$I$4),"",Setup!$I$4-B164)</f>
        <v/>
      </c>
      <c r="P164" s="16">
        <f>IF(G164="","",G164-Setup!$I$4)</f>
        <v/>
      </c>
      <c r="Q164" s="27">
        <f>IF(K164="","",IFERROR(VLOOKUP(K164,Setup!$E$4:$F$9,2,FALSE),""))</f>
        <v/>
      </c>
      <c r="R164" s="17">
        <f>IF(A164="","",IF(OR(B164="",C164="",D164="",E164="",F164="",G164="",H164="",I164="",K164=""),"Incomplete",IF(COUNTIF(Setup!$K$4:$K$8,I164)=0,"Invalid status",IF(COUNTIF(Setup!$L$4:$L$8,H164)=0,"Invalid schedule",IF(COUNTIF(Setup!$E$4:$E$9,K164)=0,"Invalid contact outcome",IF(I164&lt;&gt;"Active","Not active",IF(B164&gt;Setup!$I$4,"Future waitlist date",IF(D164&gt;E164,"Invalid age/date",IF(F164&gt;G164,"Invalid window",IF(OR(E164&lt;F164,E164&gt;G164),"Preferred date outside window",IF(G164&lt;Setup!$I$4,"Window expired",IF(OR(M164="",N164="Outside configured ranges"),"Outside age bands","Ready"))))))))))))</f>
        <v/>
      </c>
      <c r="S164" s="27">
        <f>IF(R164&lt;&gt;"Ready","",ROUND(O164*Setup!$I$5+MAX(0,Setup!$I$6-MAX(0,P164))*Setup!$I$7+Q164,1))</f>
        <v/>
      </c>
      <c r="T164" s="16">
        <f>IF(S164="","",1+COUNTIFS($R$2:$R$201,"Ready",$N$2:$N$201,N164,$S$2:$S$201,"&gt;"&amp;S164)+COUNTIFS($R$2:$R$201,"Ready",$N$2:$N$201,N164,$S$2:$S$201,"="&amp;S164,$B$2:$B$201,"&lt;"&amp;B164)+COUNTIFS($R$2:$R$201,"Ready",$N$2:$N$201,N164,$S$2:$S$201,"="&amp;S164,$B$2:$B$201,"="&amp;B164,$A$2:$A$201,"&lt;"&amp;A164))</f>
        <v/>
      </c>
      <c r="U164" s="17">
        <f>IF(A164="","",IF(R164&lt;&gt;"Ready",R164,IF(AND(K164="Not Contacted",J164&lt;&gt;""),"Clear last contact date or update outcome",IF(AND(K164&lt;&gt;"Not Contacted",J164=""),"Add last contact date",IF(AND(J164&lt;&gt;"",J164&gt;Setup!$I$4),"Last contact is after review date",IF(K164="Declined","Align status with declined outcome",IF(AND(L164&lt;&gt;"",L164&gt;G164),"Follow-up is after latest start",IF(AND(L164&lt;&gt;"",L164&lt;Setup!$I$4),"Follow-up overdue",IF(AND(L164&lt;&gt;"",L164&lt;=Setup!$I$4+Setup!$I$9),"Follow-up due soon",IF(AND(J164&lt;&gt;"",Setup!$I$4-J164&gt;Setup!$I$8),"Contact may be stale",""))))))))))</f>
        <v/>
      </c>
    </row>
    <row r="165" ht="22" customHeight="1">
      <c r="A165" s="13" t="n"/>
      <c r="B165" s="14" t="n"/>
      <c r="C165" s="15" t="n"/>
      <c r="D165" s="14" t="n"/>
      <c r="E165" s="14" t="n"/>
      <c r="F165" s="14" t="n"/>
      <c r="G165" s="14" t="n"/>
      <c r="H165" s="15" t="n"/>
      <c r="I165" s="13" t="n"/>
      <c r="J165" s="14" t="n"/>
      <c r="K165" s="15" t="n"/>
      <c r="L165" s="14" t="n"/>
      <c r="M165" s="16">
        <f>IF(OR(D165="",E165=""),"",12*(YEAR(E165)-YEAR(D165))+MONTH(E165)-MONTH(D165)-IF(DAY(E165)&lt;DAY(D165),1,0))</f>
        <v/>
      </c>
      <c r="N165" s="17">
        <f>IF(M165="","",IFERROR(IF(M165&lt;=VLOOKUP(M165,Setup!$A$4:$C$7,3,TRUE),VLOOKUP(M165,Setup!$A$4:$C$7,2,TRUE),"Outside configured ranges"),"Outside configured ranges"))</f>
        <v/>
      </c>
      <c r="O165" s="16">
        <f>IF(OR(B165="",B165&gt;Setup!$I$4),"",Setup!$I$4-B165)</f>
        <v/>
      </c>
      <c r="P165" s="16">
        <f>IF(G165="","",G165-Setup!$I$4)</f>
        <v/>
      </c>
      <c r="Q165" s="27">
        <f>IF(K165="","",IFERROR(VLOOKUP(K165,Setup!$E$4:$F$9,2,FALSE),""))</f>
        <v/>
      </c>
      <c r="R165" s="17">
        <f>IF(A165="","",IF(OR(B165="",C165="",D165="",E165="",F165="",G165="",H165="",I165="",K165=""),"Incomplete",IF(COUNTIF(Setup!$K$4:$K$8,I165)=0,"Invalid status",IF(COUNTIF(Setup!$L$4:$L$8,H165)=0,"Invalid schedule",IF(COUNTIF(Setup!$E$4:$E$9,K165)=0,"Invalid contact outcome",IF(I165&lt;&gt;"Active","Not active",IF(B165&gt;Setup!$I$4,"Future waitlist date",IF(D165&gt;E165,"Invalid age/date",IF(F165&gt;G165,"Invalid window",IF(OR(E165&lt;F165,E165&gt;G165),"Preferred date outside window",IF(G165&lt;Setup!$I$4,"Window expired",IF(OR(M165="",N165="Outside configured ranges"),"Outside age bands","Ready"))))))))))))</f>
        <v/>
      </c>
      <c r="S165" s="27">
        <f>IF(R165&lt;&gt;"Ready","",ROUND(O165*Setup!$I$5+MAX(0,Setup!$I$6-MAX(0,P165))*Setup!$I$7+Q165,1))</f>
        <v/>
      </c>
      <c r="T165" s="16">
        <f>IF(S165="","",1+COUNTIFS($R$2:$R$201,"Ready",$N$2:$N$201,N165,$S$2:$S$201,"&gt;"&amp;S165)+COUNTIFS($R$2:$R$201,"Ready",$N$2:$N$201,N165,$S$2:$S$201,"="&amp;S165,$B$2:$B$201,"&lt;"&amp;B165)+COUNTIFS($R$2:$R$201,"Ready",$N$2:$N$201,N165,$S$2:$S$201,"="&amp;S165,$B$2:$B$201,"="&amp;B165,$A$2:$A$201,"&lt;"&amp;A165))</f>
        <v/>
      </c>
      <c r="U165" s="17">
        <f>IF(A165="","",IF(R165&lt;&gt;"Ready",R165,IF(AND(K165="Not Contacted",J165&lt;&gt;""),"Clear last contact date or update outcome",IF(AND(K165&lt;&gt;"Not Contacted",J165=""),"Add last contact date",IF(AND(J165&lt;&gt;"",J165&gt;Setup!$I$4),"Last contact is after review date",IF(K165="Declined","Align status with declined outcome",IF(AND(L165&lt;&gt;"",L165&gt;G165),"Follow-up is after latest start",IF(AND(L165&lt;&gt;"",L165&lt;Setup!$I$4),"Follow-up overdue",IF(AND(L165&lt;&gt;"",L165&lt;=Setup!$I$4+Setup!$I$9),"Follow-up due soon",IF(AND(J165&lt;&gt;"",Setup!$I$4-J165&gt;Setup!$I$8),"Contact may be stale",""))))))))))</f>
        <v/>
      </c>
    </row>
    <row r="166" ht="22" customHeight="1">
      <c r="A166" s="13" t="n"/>
      <c r="B166" s="14" t="n"/>
      <c r="C166" s="15" t="n"/>
      <c r="D166" s="14" t="n"/>
      <c r="E166" s="14" t="n"/>
      <c r="F166" s="14" t="n"/>
      <c r="G166" s="14" t="n"/>
      <c r="H166" s="15" t="n"/>
      <c r="I166" s="13" t="n"/>
      <c r="J166" s="14" t="n"/>
      <c r="K166" s="15" t="n"/>
      <c r="L166" s="14" t="n"/>
      <c r="M166" s="16">
        <f>IF(OR(D166="",E166=""),"",12*(YEAR(E166)-YEAR(D166))+MONTH(E166)-MONTH(D166)-IF(DAY(E166)&lt;DAY(D166),1,0))</f>
        <v/>
      </c>
      <c r="N166" s="17">
        <f>IF(M166="","",IFERROR(IF(M166&lt;=VLOOKUP(M166,Setup!$A$4:$C$7,3,TRUE),VLOOKUP(M166,Setup!$A$4:$C$7,2,TRUE),"Outside configured ranges"),"Outside configured ranges"))</f>
        <v/>
      </c>
      <c r="O166" s="16">
        <f>IF(OR(B166="",B166&gt;Setup!$I$4),"",Setup!$I$4-B166)</f>
        <v/>
      </c>
      <c r="P166" s="16">
        <f>IF(G166="","",G166-Setup!$I$4)</f>
        <v/>
      </c>
      <c r="Q166" s="27">
        <f>IF(K166="","",IFERROR(VLOOKUP(K166,Setup!$E$4:$F$9,2,FALSE),""))</f>
        <v/>
      </c>
      <c r="R166" s="17">
        <f>IF(A166="","",IF(OR(B166="",C166="",D166="",E166="",F166="",G166="",H166="",I166="",K166=""),"Incomplete",IF(COUNTIF(Setup!$K$4:$K$8,I166)=0,"Invalid status",IF(COUNTIF(Setup!$L$4:$L$8,H166)=0,"Invalid schedule",IF(COUNTIF(Setup!$E$4:$E$9,K166)=0,"Invalid contact outcome",IF(I166&lt;&gt;"Active","Not active",IF(B166&gt;Setup!$I$4,"Future waitlist date",IF(D166&gt;E166,"Invalid age/date",IF(F166&gt;G166,"Invalid window",IF(OR(E166&lt;F166,E166&gt;G166),"Preferred date outside window",IF(G166&lt;Setup!$I$4,"Window expired",IF(OR(M166="",N166="Outside configured ranges"),"Outside age bands","Ready"))))))))))))</f>
        <v/>
      </c>
      <c r="S166" s="27">
        <f>IF(R166&lt;&gt;"Ready","",ROUND(O166*Setup!$I$5+MAX(0,Setup!$I$6-MAX(0,P166))*Setup!$I$7+Q166,1))</f>
        <v/>
      </c>
      <c r="T166" s="16">
        <f>IF(S166="","",1+COUNTIFS($R$2:$R$201,"Ready",$N$2:$N$201,N166,$S$2:$S$201,"&gt;"&amp;S166)+COUNTIFS($R$2:$R$201,"Ready",$N$2:$N$201,N166,$S$2:$S$201,"="&amp;S166,$B$2:$B$201,"&lt;"&amp;B166)+COUNTIFS($R$2:$R$201,"Ready",$N$2:$N$201,N166,$S$2:$S$201,"="&amp;S166,$B$2:$B$201,"="&amp;B166,$A$2:$A$201,"&lt;"&amp;A166))</f>
        <v/>
      </c>
      <c r="U166" s="17">
        <f>IF(A166="","",IF(R166&lt;&gt;"Ready",R166,IF(AND(K166="Not Contacted",J166&lt;&gt;""),"Clear last contact date or update outcome",IF(AND(K166&lt;&gt;"Not Contacted",J166=""),"Add last contact date",IF(AND(J166&lt;&gt;"",J166&gt;Setup!$I$4),"Last contact is after review date",IF(K166="Declined","Align status with declined outcome",IF(AND(L166&lt;&gt;"",L166&gt;G166),"Follow-up is after latest start",IF(AND(L166&lt;&gt;"",L166&lt;Setup!$I$4),"Follow-up overdue",IF(AND(L166&lt;&gt;"",L166&lt;=Setup!$I$4+Setup!$I$9),"Follow-up due soon",IF(AND(J166&lt;&gt;"",Setup!$I$4-J166&gt;Setup!$I$8),"Contact may be stale",""))))))))))</f>
        <v/>
      </c>
    </row>
    <row r="167" ht="22" customHeight="1">
      <c r="A167" s="13" t="n"/>
      <c r="B167" s="14" t="n"/>
      <c r="C167" s="15" t="n"/>
      <c r="D167" s="14" t="n"/>
      <c r="E167" s="14" t="n"/>
      <c r="F167" s="14" t="n"/>
      <c r="G167" s="14" t="n"/>
      <c r="H167" s="15" t="n"/>
      <c r="I167" s="13" t="n"/>
      <c r="J167" s="14" t="n"/>
      <c r="K167" s="15" t="n"/>
      <c r="L167" s="14" t="n"/>
      <c r="M167" s="16">
        <f>IF(OR(D167="",E167=""),"",12*(YEAR(E167)-YEAR(D167))+MONTH(E167)-MONTH(D167)-IF(DAY(E167)&lt;DAY(D167),1,0))</f>
        <v/>
      </c>
      <c r="N167" s="17">
        <f>IF(M167="","",IFERROR(IF(M167&lt;=VLOOKUP(M167,Setup!$A$4:$C$7,3,TRUE),VLOOKUP(M167,Setup!$A$4:$C$7,2,TRUE),"Outside configured ranges"),"Outside configured ranges"))</f>
        <v/>
      </c>
      <c r="O167" s="16">
        <f>IF(OR(B167="",B167&gt;Setup!$I$4),"",Setup!$I$4-B167)</f>
        <v/>
      </c>
      <c r="P167" s="16">
        <f>IF(G167="","",G167-Setup!$I$4)</f>
        <v/>
      </c>
      <c r="Q167" s="27">
        <f>IF(K167="","",IFERROR(VLOOKUP(K167,Setup!$E$4:$F$9,2,FALSE),""))</f>
        <v/>
      </c>
      <c r="R167" s="17">
        <f>IF(A167="","",IF(OR(B167="",C167="",D167="",E167="",F167="",G167="",H167="",I167="",K167=""),"Incomplete",IF(COUNTIF(Setup!$K$4:$K$8,I167)=0,"Invalid status",IF(COUNTIF(Setup!$L$4:$L$8,H167)=0,"Invalid schedule",IF(COUNTIF(Setup!$E$4:$E$9,K167)=0,"Invalid contact outcome",IF(I167&lt;&gt;"Active","Not active",IF(B167&gt;Setup!$I$4,"Future waitlist date",IF(D167&gt;E167,"Invalid age/date",IF(F167&gt;G167,"Invalid window",IF(OR(E167&lt;F167,E167&gt;G167),"Preferred date outside window",IF(G167&lt;Setup!$I$4,"Window expired",IF(OR(M167="",N167="Outside configured ranges"),"Outside age bands","Ready"))))))))))))</f>
        <v/>
      </c>
      <c r="S167" s="27">
        <f>IF(R167&lt;&gt;"Ready","",ROUND(O167*Setup!$I$5+MAX(0,Setup!$I$6-MAX(0,P167))*Setup!$I$7+Q167,1))</f>
        <v/>
      </c>
      <c r="T167" s="16">
        <f>IF(S167="","",1+COUNTIFS($R$2:$R$201,"Ready",$N$2:$N$201,N167,$S$2:$S$201,"&gt;"&amp;S167)+COUNTIFS($R$2:$R$201,"Ready",$N$2:$N$201,N167,$S$2:$S$201,"="&amp;S167,$B$2:$B$201,"&lt;"&amp;B167)+COUNTIFS($R$2:$R$201,"Ready",$N$2:$N$201,N167,$S$2:$S$201,"="&amp;S167,$B$2:$B$201,"="&amp;B167,$A$2:$A$201,"&lt;"&amp;A167))</f>
        <v/>
      </c>
      <c r="U167" s="17">
        <f>IF(A167="","",IF(R167&lt;&gt;"Ready",R167,IF(AND(K167="Not Contacted",J167&lt;&gt;""),"Clear last contact date or update outcome",IF(AND(K167&lt;&gt;"Not Contacted",J167=""),"Add last contact date",IF(AND(J167&lt;&gt;"",J167&gt;Setup!$I$4),"Last contact is after review date",IF(K167="Declined","Align status with declined outcome",IF(AND(L167&lt;&gt;"",L167&gt;G167),"Follow-up is after latest start",IF(AND(L167&lt;&gt;"",L167&lt;Setup!$I$4),"Follow-up overdue",IF(AND(L167&lt;&gt;"",L167&lt;=Setup!$I$4+Setup!$I$9),"Follow-up due soon",IF(AND(J167&lt;&gt;"",Setup!$I$4-J167&gt;Setup!$I$8),"Contact may be stale",""))))))))))</f>
        <v/>
      </c>
    </row>
    <row r="168" ht="22" customHeight="1">
      <c r="A168" s="13" t="n"/>
      <c r="B168" s="14" t="n"/>
      <c r="C168" s="15" t="n"/>
      <c r="D168" s="14" t="n"/>
      <c r="E168" s="14" t="n"/>
      <c r="F168" s="14" t="n"/>
      <c r="G168" s="14" t="n"/>
      <c r="H168" s="15" t="n"/>
      <c r="I168" s="13" t="n"/>
      <c r="J168" s="14" t="n"/>
      <c r="K168" s="15" t="n"/>
      <c r="L168" s="14" t="n"/>
      <c r="M168" s="16">
        <f>IF(OR(D168="",E168=""),"",12*(YEAR(E168)-YEAR(D168))+MONTH(E168)-MONTH(D168)-IF(DAY(E168)&lt;DAY(D168),1,0))</f>
        <v/>
      </c>
      <c r="N168" s="17">
        <f>IF(M168="","",IFERROR(IF(M168&lt;=VLOOKUP(M168,Setup!$A$4:$C$7,3,TRUE),VLOOKUP(M168,Setup!$A$4:$C$7,2,TRUE),"Outside configured ranges"),"Outside configured ranges"))</f>
        <v/>
      </c>
      <c r="O168" s="16">
        <f>IF(OR(B168="",B168&gt;Setup!$I$4),"",Setup!$I$4-B168)</f>
        <v/>
      </c>
      <c r="P168" s="16">
        <f>IF(G168="","",G168-Setup!$I$4)</f>
        <v/>
      </c>
      <c r="Q168" s="27">
        <f>IF(K168="","",IFERROR(VLOOKUP(K168,Setup!$E$4:$F$9,2,FALSE),""))</f>
        <v/>
      </c>
      <c r="R168" s="17">
        <f>IF(A168="","",IF(OR(B168="",C168="",D168="",E168="",F168="",G168="",H168="",I168="",K168=""),"Incomplete",IF(COUNTIF(Setup!$K$4:$K$8,I168)=0,"Invalid status",IF(COUNTIF(Setup!$L$4:$L$8,H168)=0,"Invalid schedule",IF(COUNTIF(Setup!$E$4:$E$9,K168)=0,"Invalid contact outcome",IF(I168&lt;&gt;"Active","Not active",IF(B168&gt;Setup!$I$4,"Future waitlist date",IF(D168&gt;E168,"Invalid age/date",IF(F168&gt;G168,"Invalid window",IF(OR(E168&lt;F168,E168&gt;G168),"Preferred date outside window",IF(G168&lt;Setup!$I$4,"Window expired",IF(OR(M168="",N168="Outside configured ranges"),"Outside age bands","Ready"))))))))))))</f>
        <v/>
      </c>
      <c r="S168" s="27">
        <f>IF(R168&lt;&gt;"Ready","",ROUND(O168*Setup!$I$5+MAX(0,Setup!$I$6-MAX(0,P168))*Setup!$I$7+Q168,1))</f>
        <v/>
      </c>
      <c r="T168" s="16">
        <f>IF(S168="","",1+COUNTIFS($R$2:$R$201,"Ready",$N$2:$N$201,N168,$S$2:$S$201,"&gt;"&amp;S168)+COUNTIFS($R$2:$R$201,"Ready",$N$2:$N$201,N168,$S$2:$S$201,"="&amp;S168,$B$2:$B$201,"&lt;"&amp;B168)+COUNTIFS($R$2:$R$201,"Ready",$N$2:$N$201,N168,$S$2:$S$201,"="&amp;S168,$B$2:$B$201,"="&amp;B168,$A$2:$A$201,"&lt;"&amp;A168))</f>
        <v/>
      </c>
      <c r="U168" s="17">
        <f>IF(A168="","",IF(R168&lt;&gt;"Ready",R168,IF(AND(K168="Not Contacted",J168&lt;&gt;""),"Clear last contact date or update outcome",IF(AND(K168&lt;&gt;"Not Contacted",J168=""),"Add last contact date",IF(AND(J168&lt;&gt;"",J168&gt;Setup!$I$4),"Last contact is after review date",IF(K168="Declined","Align status with declined outcome",IF(AND(L168&lt;&gt;"",L168&gt;G168),"Follow-up is after latest start",IF(AND(L168&lt;&gt;"",L168&lt;Setup!$I$4),"Follow-up overdue",IF(AND(L168&lt;&gt;"",L168&lt;=Setup!$I$4+Setup!$I$9),"Follow-up due soon",IF(AND(J168&lt;&gt;"",Setup!$I$4-J168&gt;Setup!$I$8),"Contact may be stale",""))))))))))</f>
        <v/>
      </c>
    </row>
    <row r="169" ht="22" customHeight="1">
      <c r="A169" s="13" t="n"/>
      <c r="B169" s="14" t="n"/>
      <c r="C169" s="15" t="n"/>
      <c r="D169" s="14" t="n"/>
      <c r="E169" s="14" t="n"/>
      <c r="F169" s="14" t="n"/>
      <c r="G169" s="14" t="n"/>
      <c r="H169" s="15" t="n"/>
      <c r="I169" s="13" t="n"/>
      <c r="J169" s="14" t="n"/>
      <c r="K169" s="15" t="n"/>
      <c r="L169" s="14" t="n"/>
      <c r="M169" s="16">
        <f>IF(OR(D169="",E169=""),"",12*(YEAR(E169)-YEAR(D169))+MONTH(E169)-MONTH(D169)-IF(DAY(E169)&lt;DAY(D169),1,0))</f>
        <v/>
      </c>
      <c r="N169" s="17">
        <f>IF(M169="","",IFERROR(IF(M169&lt;=VLOOKUP(M169,Setup!$A$4:$C$7,3,TRUE),VLOOKUP(M169,Setup!$A$4:$C$7,2,TRUE),"Outside configured ranges"),"Outside configured ranges"))</f>
        <v/>
      </c>
      <c r="O169" s="16">
        <f>IF(OR(B169="",B169&gt;Setup!$I$4),"",Setup!$I$4-B169)</f>
        <v/>
      </c>
      <c r="P169" s="16">
        <f>IF(G169="","",G169-Setup!$I$4)</f>
        <v/>
      </c>
      <c r="Q169" s="27">
        <f>IF(K169="","",IFERROR(VLOOKUP(K169,Setup!$E$4:$F$9,2,FALSE),""))</f>
        <v/>
      </c>
      <c r="R169" s="17">
        <f>IF(A169="","",IF(OR(B169="",C169="",D169="",E169="",F169="",G169="",H169="",I169="",K169=""),"Incomplete",IF(COUNTIF(Setup!$K$4:$K$8,I169)=0,"Invalid status",IF(COUNTIF(Setup!$L$4:$L$8,H169)=0,"Invalid schedule",IF(COUNTIF(Setup!$E$4:$E$9,K169)=0,"Invalid contact outcome",IF(I169&lt;&gt;"Active","Not active",IF(B169&gt;Setup!$I$4,"Future waitlist date",IF(D169&gt;E169,"Invalid age/date",IF(F169&gt;G169,"Invalid window",IF(OR(E169&lt;F169,E169&gt;G169),"Preferred date outside window",IF(G169&lt;Setup!$I$4,"Window expired",IF(OR(M169="",N169="Outside configured ranges"),"Outside age bands","Ready"))))))))))))</f>
        <v/>
      </c>
      <c r="S169" s="27">
        <f>IF(R169&lt;&gt;"Ready","",ROUND(O169*Setup!$I$5+MAX(0,Setup!$I$6-MAX(0,P169))*Setup!$I$7+Q169,1))</f>
        <v/>
      </c>
      <c r="T169" s="16">
        <f>IF(S169="","",1+COUNTIFS($R$2:$R$201,"Ready",$N$2:$N$201,N169,$S$2:$S$201,"&gt;"&amp;S169)+COUNTIFS($R$2:$R$201,"Ready",$N$2:$N$201,N169,$S$2:$S$201,"="&amp;S169,$B$2:$B$201,"&lt;"&amp;B169)+COUNTIFS($R$2:$R$201,"Ready",$N$2:$N$201,N169,$S$2:$S$201,"="&amp;S169,$B$2:$B$201,"="&amp;B169,$A$2:$A$201,"&lt;"&amp;A169))</f>
        <v/>
      </c>
      <c r="U169" s="17">
        <f>IF(A169="","",IF(R169&lt;&gt;"Ready",R169,IF(AND(K169="Not Contacted",J169&lt;&gt;""),"Clear last contact date or update outcome",IF(AND(K169&lt;&gt;"Not Contacted",J169=""),"Add last contact date",IF(AND(J169&lt;&gt;"",J169&gt;Setup!$I$4),"Last contact is after review date",IF(K169="Declined","Align status with declined outcome",IF(AND(L169&lt;&gt;"",L169&gt;G169),"Follow-up is after latest start",IF(AND(L169&lt;&gt;"",L169&lt;Setup!$I$4),"Follow-up overdue",IF(AND(L169&lt;&gt;"",L169&lt;=Setup!$I$4+Setup!$I$9),"Follow-up due soon",IF(AND(J169&lt;&gt;"",Setup!$I$4-J169&gt;Setup!$I$8),"Contact may be stale",""))))))))))</f>
        <v/>
      </c>
    </row>
    <row r="170" ht="22" customHeight="1">
      <c r="A170" s="13" t="n"/>
      <c r="B170" s="14" t="n"/>
      <c r="C170" s="15" t="n"/>
      <c r="D170" s="14" t="n"/>
      <c r="E170" s="14" t="n"/>
      <c r="F170" s="14" t="n"/>
      <c r="G170" s="14" t="n"/>
      <c r="H170" s="15" t="n"/>
      <c r="I170" s="13" t="n"/>
      <c r="J170" s="14" t="n"/>
      <c r="K170" s="15" t="n"/>
      <c r="L170" s="14" t="n"/>
      <c r="M170" s="16">
        <f>IF(OR(D170="",E170=""),"",12*(YEAR(E170)-YEAR(D170))+MONTH(E170)-MONTH(D170)-IF(DAY(E170)&lt;DAY(D170),1,0))</f>
        <v/>
      </c>
      <c r="N170" s="17">
        <f>IF(M170="","",IFERROR(IF(M170&lt;=VLOOKUP(M170,Setup!$A$4:$C$7,3,TRUE),VLOOKUP(M170,Setup!$A$4:$C$7,2,TRUE),"Outside configured ranges"),"Outside configured ranges"))</f>
        <v/>
      </c>
      <c r="O170" s="16">
        <f>IF(OR(B170="",B170&gt;Setup!$I$4),"",Setup!$I$4-B170)</f>
        <v/>
      </c>
      <c r="P170" s="16">
        <f>IF(G170="","",G170-Setup!$I$4)</f>
        <v/>
      </c>
      <c r="Q170" s="27">
        <f>IF(K170="","",IFERROR(VLOOKUP(K170,Setup!$E$4:$F$9,2,FALSE),""))</f>
        <v/>
      </c>
      <c r="R170" s="17">
        <f>IF(A170="","",IF(OR(B170="",C170="",D170="",E170="",F170="",G170="",H170="",I170="",K170=""),"Incomplete",IF(COUNTIF(Setup!$K$4:$K$8,I170)=0,"Invalid status",IF(COUNTIF(Setup!$L$4:$L$8,H170)=0,"Invalid schedule",IF(COUNTIF(Setup!$E$4:$E$9,K170)=0,"Invalid contact outcome",IF(I170&lt;&gt;"Active","Not active",IF(B170&gt;Setup!$I$4,"Future waitlist date",IF(D170&gt;E170,"Invalid age/date",IF(F170&gt;G170,"Invalid window",IF(OR(E170&lt;F170,E170&gt;G170),"Preferred date outside window",IF(G170&lt;Setup!$I$4,"Window expired",IF(OR(M170="",N170="Outside configured ranges"),"Outside age bands","Ready"))))))))))))</f>
        <v/>
      </c>
      <c r="S170" s="27">
        <f>IF(R170&lt;&gt;"Ready","",ROUND(O170*Setup!$I$5+MAX(0,Setup!$I$6-MAX(0,P170))*Setup!$I$7+Q170,1))</f>
        <v/>
      </c>
      <c r="T170" s="16">
        <f>IF(S170="","",1+COUNTIFS($R$2:$R$201,"Ready",$N$2:$N$201,N170,$S$2:$S$201,"&gt;"&amp;S170)+COUNTIFS($R$2:$R$201,"Ready",$N$2:$N$201,N170,$S$2:$S$201,"="&amp;S170,$B$2:$B$201,"&lt;"&amp;B170)+COUNTIFS($R$2:$R$201,"Ready",$N$2:$N$201,N170,$S$2:$S$201,"="&amp;S170,$B$2:$B$201,"="&amp;B170,$A$2:$A$201,"&lt;"&amp;A170))</f>
        <v/>
      </c>
      <c r="U170" s="17">
        <f>IF(A170="","",IF(R170&lt;&gt;"Ready",R170,IF(AND(K170="Not Contacted",J170&lt;&gt;""),"Clear last contact date or update outcome",IF(AND(K170&lt;&gt;"Not Contacted",J170=""),"Add last contact date",IF(AND(J170&lt;&gt;"",J170&gt;Setup!$I$4),"Last contact is after review date",IF(K170="Declined","Align status with declined outcome",IF(AND(L170&lt;&gt;"",L170&gt;G170),"Follow-up is after latest start",IF(AND(L170&lt;&gt;"",L170&lt;Setup!$I$4),"Follow-up overdue",IF(AND(L170&lt;&gt;"",L170&lt;=Setup!$I$4+Setup!$I$9),"Follow-up due soon",IF(AND(J170&lt;&gt;"",Setup!$I$4-J170&gt;Setup!$I$8),"Contact may be stale",""))))))))))</f>
        <v/>
      </c>
    </row>
    <row r="171" ht="22" customHeight="1">
      <c r="A171" s="13" t="n"/>
      <c r="B171" s="14" t="n"/>
      <c r="C171" s="15" t="n"/>
      <c r="D171" s="14" t="n"/>
      <c r="E171" s="14" t="n"/>
      <c r="F171" s="14" t="n"/>
      <c r="G171" s="14" t="n"/>
      <c r="H171" s="15" t="n"/>
      <c r="I171" s="13" t="n"/>
      <c r="J171" s="14" t="n"/>
      <c r="K171" s="15" t="n"/>
      <c r="L171" s="14" t="n"/>
      <c r="M171" s="16">
        <f>IF(OR(D171="",E171=""),"",12*(YEAR(E171)-YEAR(D171))+MONTH(E171)-MONTH(D171)-IF(DAY(E171)&lt;DAY(D171),1,0))</f>
        <v/>
      </c>
      <c r="N171" s="17">
        <f>IF(M171="","",IFERROR(IF(M171&lt;=VLOOKUP(M171,Setup!$A$4:$C$7,3,TRUE),VLOOKUP(M171,Setup!$A$4:$C$7,2,TRUE),"Outside configured ranges"),"Outside configured ranges"))</f>
        <v/>
      </c>
      <c r="O171" s="16">
        <f>IF(OR(B171="",B171&gt;Setup!$I$4),"",Setup!$I$4-B171)</f>
        <v/>
      </c>
      <c r="P171" s="16">
        <f>IF(G171="","",G171-Setup!$I$4)</f>
        <v/>
      </c>
      <c r="Q171" s="27">
        <f>IF(K171="","",IFERROR(VLOOKUP(K171,Setup!$E$4:$F$9,2,FALSE),""))</f>
        <v/>
      </c>
      <c r="R171" s="17">
        <f>IF(A171="","",IF(OR(B171="",C171="",D171="",E171="",F171="",G171="",H171="",I171="",K171=""),"Incomplete",IF(COUNTIF(Setup!$K$4:$K$8,I171)=0,"Invalid status",IF(COUNTIF(Setup!$L$4:$L$8,H171)=0,"Invalid schedule",IF(COUNTIF(Setup!$E$4:$E$9,K171)=0,"Invalid contact outcome",IF(I171&lt;&gt;"Active","Not active",IF(B171&gt;Setup!$I$4,"Future waitlist date",IF(D171&gt;E171,"Invalid age/date",IF(F171&gt;G171,"Invalid window",IF(OR(E171&lt;F171,E171&gt;G171),"Preferred date outside window",IF(G171&lt;Setup!$I$4,"Window expired",IF(OR(M171="",N171="Outside configured ranges"),"Outside age bands","Ready"))))))))))))</f>
        <v/>
      </c>
      <c r="S171" s="27">
        <f>IF(R171&lt;&gt;"Ready","",ROUND(O171*Setup!$I$5+MAX(0,Setup!$I$6-MAX(0,P171))*Setup!$I$7+Q171,1))</f>
        <v/>
      </c>
      <c r="T171" s="16">
        <f>IF(S171="","",1+COUNTIFS($R$2:$R$201,"Ready",$N$2:$N$201,N171,$S$2:$S$201,"&gt;"&amp;S171)+COUNTIFS($R$2:$R$201,"Ready",$N$2:$N$201,N171,$S$2:$S$201,"="&amp;S171,$B$2:$B$201,"&lt;"&amp;B171)+COUNTIFS($R$2:$R$201,"Ready",$N$2:$N$201,N171,$S$2:$S$201,"="&amp;S171,$B$2:$B$201,"="&amp;B171,$A$2:$A$201,"&lt;"&amp;A171))</f>
        <v/>
      </c>
      <c r="U171" s="17">
        <f>IF(A171="","",IF(R171&lt;&gt;"Ready",R171,IF(AND(K171="Not Contacted",J171&lt;&gt;""),"Clear last contact date or update outcome",IF(AND(K171&lt;&gt;"Not Contacted",J171=""),"Add last contact date",IF(AND(J171&lt;&gt;"",J171&gt;Setup!$I$4),"Last contact is after review date",IF(K171="Declined","Align status with declined outcome",IF(AND(L171&lt;&gt;"",L171&gt;G171),"Follow-up is after latest start",IF(AND(L171&lt;&gt;"",L171&lt;Setup!$I$4),"Follow-up overdue",IF(AND(L171&lt;&gt;"",L171&lt;=Setup!$I$4+Setup!$I$9),"Follow-up due soon",IF(AND(J171&lt;&gt;"",Setup!$I$4-J171&gt;Setup!$I$8),"Contact may be stale",""))))))))))</f>
        <v/>
      </c>
    </row>
    <row r="172" ht="22" customHeight="1">
      <c r="A172" s="13" t="n"/>
      <c r="B172" s="14" t="n"/>
      <c r="C172" s="15" t="n"/>
      <c r="D172" s="14" t="n"/>
      <c r="E172" s="14" t="n"/>
      <c r="F172" s="14" t="n"/>
      <c r="G172" s="14" t="n"/>
      <c r="H172" s="15" t="n"/>
      <c r="I172" s="13" t="n"/>
      <c r="J172" s="14" t="n"/>
      <c r="K172" s="15" t="n"/>
      <c r="L172" s="14" t="n"/>
      <c r="M172" s="16">
        <f>IF(OR(D172="",E172=""),"",12*(YEAR(E172)-YEAR(D172))+MONTH(E172)-MONTH(D172)-IF(DAY(E172)&lt;DAY(D172),1,0))</f>
        <v/>
      </c>
      <c r="N172" s="17">
        <f>IF(M172="","",IFERROR(IF(M172&lt;=VLOOKUP(M172,Setup!$A$4:$C$7,3,TRUE),VLOOKUP(M172,Setup!$A$4:$C$7,2,TRUE),"Outside configured ranges"),"Outside configured ranges"))</f>
        <v/>
      </c>
      <c r="O172" s="16">
        <f>IF(OR(B172="",B172&gt;Setup!$I$4),"",Setup!$I$4-B172)</f>
        <v/>
      </c>
      <c r="P172" s="16">
        <f>IF(G172="","",G172-Setup!$I$4)</f>
        <v/>
      </c>
      <c r="Q172" s="27">
        <f>IF(K172="","",IFERROR(VLOOKUP(K172,Setup!$E$4:$F$9,2,FALSE),""))</f>
        <v/>
      </c>
      <c r="R172" s="17">
        <f>IF(A172="","",IF(OR(B172="",C172="",D172="",E172="",F172="",G172="",H172="",I172="",K172=""),"Incomplete",IF(COUNTIF(Setup!$K$4:$K$8,I172)=0,"Invalid status",IF(COUNTIF(Setup!$L$4:$L$8,H172)=0,"Invalid schedule",IF(COUNTIF(Setup!$E$4:$E$9,K172)=0,"Invalid contact outcome",IF(I172&lt;&gt;"Active","Not active",IF(B172&gt;Setup!$I$4,"Future waitlist date",IF(D172&gt;E172,"Invalid age/date",IF(F172&gt;G172,"Invalid window",IF(OR(E172&lt;F172,E172&gt;G172),"Preferred date outside window",IF(G172&lt;Setup!$I$4,"Window expired",IF(OR(M172="",N172="Outside configured ranges"),"Outside age bands","Ready"))))))))))))</f>
        <v/>
      </c>
      <c r="S172" s="27">
        <f>IF(R172&lt;&gt;"Ready","",ROUND(O172*Setup!$I$5+MAX(0,Setup!$I$6-MAX(0,P172))*Setup!$I$7+Q172,1))</f>
        <v/>
      </c>
      <c r="T172" s="16">
        <f>IF(S172="","",1+COUNTIFS($R$2:$R$201,"Ready",$N$2:$N$201,N172,$S$2:$S$201,"&gt;"&amp;S172)+COUNTIFS($R$2:$R$201,"Ready",$N$2:$N$201,N172,$S$2:$S$201,"="&amp;S172,$B$2:$B$201,"&lt;"&amp;B172)+COUNTIFS($R$2:$R$201,"Ready",$N$2:$N$201,N172,$S$2:$S$201,"="&amp;S172,$B$2:$B$201,"="&amp;B172,$A$2:$A$201,"&lt;"&amp;A172))</f>
        <v/>
      </c>
      <c r="U172" s="17">
        <f>IF(A172="","",IF(R172&lt;&gt;"Ready",R172,IF(AND(K172="Not Contacted",J172&lt;&gt;""),"Clear last contact date or update outcome",IF(AND(K172&lt;&gt;"Not Contacted",J172=""),"Add last contact date",IF(AND(J172&lt;&gt;"",J172&gt;Setup!$I$4),"Last contact is after review date",IF(K172="Declined","Align status with declined outcome",IF(AND(L172&lt;&gt;"",L172&gt;G172),"Follow-up is after latest start",IF(AND(L172&lt;&gt;"",L172&lt;Setup!$I$4),"Follow-up overdue",IF(AND(L172&lt;&gt;"",L172&lt;=Setup!$I$4+Setup!$I$9),"Follow-up due soon",IF(AND(J172&lt;&gt;"",Setup!$I$4-J172&gt;Setup!$I$8),"Contact may be stale",""))))))))))</f>
        <v/>
      </c>
    </row>
    <row r="173" ht="22" customHeight="1">
      <c r="A173" s="13" t="n"/>
      <c r="B173" s="14" t="n"/>
      <c r="C173" s="15" t="n"/>
      <c r="D173" s="14" t="n"/>
      <c r="E173" s="14" t="n"/>
      <c r="F173" s="14" t="n"/>
      <c r="G173" s="14" t="n"/>
      <c r="H173" s="15" t="n"/>
      <c r="I173" s="13" t="n"/>
      <c r="J173" s="14" t="n"/>
      <c r="K173" s="15" t="n"/>
      <c r="L173" s="14" t="n"/>
      <c r="M173" s="16">
        <f>IF(OR(D173="",E173=""),"",12*(YEAR(E173)-YEAR(D173))+MONTH(E173)-MONTH(D173)-IF(DAY(E173)&lt;DAY(D173),1,0))</f>
        <v/>
      </c>
      <c r="N173" s="17">
        <f>IF(M173="","",IFERROR(IF(M173&lt;=VLOOKUP(M173,Setup!$A$4:$C$7,3,TRUE),VLOOKUP(M173,Setup!$A$4:$C$7,2,TRUE),"Outside configured ranges"),"Outside configured ranges"))</f>
        <v/>
      </c>
      <c r="O173" s="16">
        <f>IF(OR(B173="",B173&gt;Setup!$I$4),"",Setup!$I$4-B173)</f>
        <v/>
      </c>
      <c r="P173" s="16">
        <f>IF(G173="","",G173-Setup!$I$4)</f>
        <v/>
      </c>
      <c r="Q173" s="27">
        <f>IF(K173="","",IFERROR(VLOOKUP(K173,Setup!$E$4:$F$9,2,FALSE),""))</f>
        <v/>
      </c>
      <c r="R173" s="17">
        <f>IF(A173="","",IF(OR(B173="",C173="",D173="",E173="",F173="",G173="",H173="",I173="",K173=""),"Incomplete",IF(COUNTIF(Setup!$K$4:$K$8,I173)=0,"Invalid status",IF(COUNTIF(Setup!$L$4:$L$8,H173)=0,"Invalid schedule",IF(COUNTIF(Setup!$E$4:$E$9,K173)=0,"Invalid contact outcome",IF(I173&lt;&gt;"Active","Not active",IF(B173&gt;Setup!$I$4,"Future waitlist date",IF(D173&gt;E173,"Invalid age/date",IF(F173&gt;G173,"Invalid window",IF(OR(E173&lt;F173,E173&gt;G173),"Preferred date outside window",IF(G173&lt;Setup!$I$4,"Window expired",IF(OR(M173="",N173="Outside configured ranges"),"Outside age bands","Ready"))))))))))))</f>
        <v/>
      </c>
      <c r="S173" s="27">
        <f>IF(R173&lt;&gt;"Ready","",ROUND(O173*Setup!$I$5+MAX(0,Setup!$I$6-MAX(0,P173))*Setup!$I$7+Q173,1))</f>
        <v/>
      </c>
      <c r="T173" s="16">
        <f>IF(S173="","",1+COUNTIFS($R$2:$R$201,"Ready",$N$2:$N$201,N173,$S$2:$S$201,"&gt;"&amp;S173)+COUNTIFS($R$2:$R$201,"Ready",$N$2:$N$201,N173,$S$2:$S$201,"="&amp;S173,$B$2:$B$201,"&lt;"&amp;B173)+COUNTIFS($R$2:$R$201,"Ready",$N$2:$N$201,N173,$S$2:$S$201,"="&amp;S173,$B$2:$B$201,"="&amp;B173,$A$2:$A$201,"&lt;"&amp;A173))</f>
        <v/>
      </c>
      <c r="U173" s="17">
        <f>IF(A173="","",IF(R173&lt;&gt;"Ready",R173,IF(AND(K173="Not Contacted",J173&lt;&gt;""),"Clear last contact date or update outcome",IF(AND(K173&lt;&gt;"Not Contacted",J173=""),"Add last contact date",IF(AND(J173&lt;&gt;"",J173&gt;Setup!$I$4),"Last contact is after review date",IF(K173="Declined","Align status with declined outcome",IF(AND(L173&lt;&gt;"",L173&gt;G173),"Follow-up is after latest start",IF(AND(L173&lt;&gt;"",L173&lt;Setup!$I$4),"Follow-up overdue",IF(AND(L173&lt;&gt;"",L173&lt;=Setup!$I$4+Setup!$I$9),"Follow-up due soon",IF(AND(J173&lt;&gt;"",Setup!$I$4-J173&gt;Setup!$I$8),"Contact may be stale",""))))))))))</f>
        <v/>
      </c>
    </row>
    <row r="174" ht="22" customHeight="1">
      <c r="A174" s="13" t="n"/>
      <c r="B174" s="14" t="n"/>
      <c r="C174" s="15" t="n"/>
      <c r="D174" s="14" t="n"/>
      <c r="E174" s="14" t="n"/>
      <c r="F174" s="14" t="n"/>
      <c r="G174" s="14" t="n"/>
      <c r="H174" s="15" t="n"/>
      <c r="I174" s="13" t="n"/>
      <c r="J174" s="14" t="n"/>
      <c r="K174" s="15" t="n"/>
      <c r="L174" s="14" t="n"/>
      <c r="M174" s="16">
        <f>IF(OR(D174="",E174=""),"",12*(YEAR(E174)-YEAR(D174))+MONTH(E174)-MONTH(D174)-IF(DAY(E174)&lt;DAY(D174),1,0))</f>
        <v/>
      </c>
      <c r="N174" s="17">
        <f>IF(M174="","",IFERROR(IF(M174&lt;=VLOOKUP(M174,Setup!$A$4:$C$7,3,TRUE),VLOOKUP(M174,Setup!$A$4:$C$7,2,TRUE),"Outside configured ranges"),"Outside configured ranges"))</f>
        <v/>
      </c>
      <c r="O174" s="16">
        <f>IF(OR(B174="",B174&gt;Setup!$I$4),"",Setup!$I$4-B174)</f>
        <v/>
      </c>
      <c r="P174" s="16">
        <f>IF(G174="","",G174-Setup!$I$4)</f>
        <v/>
      </c>
      <c r="Q174" s="27">
        <f>IF(K174="","",IFERROR(VLOOKUP(K174,Setup!$E$4:$F$9,2,FALSE),""))</f>
        <v/>
      </c>
      <c r="R174" s="17">
        <f>IF(A174="","",IF(OR(B174="",C174="",D174="",E174="",F174="",G174="",H174="",I174="",K174=""),"Incomplete",IF(COUNTIF(Setup!$K$4:$K$8,I174)=0,"Invalid status",IF(COUNTIF(Setup!$L$4:$L$8,H174)=0,"Invalid schedule",IF(COUNTIF(Setup!$E$4:$E$9,K174)=0,"Invalid contact outcome",IF(I174&lt;&gt;"Active","Not active",IF(B174&gt;Setup!$I$4,"Future waitlist date",IF(D174&gt;E174,"Invalid age/date",IF(F174&gt;G174,"Invalid window",IF(OR(E174&lt;F174,E174&gt;G174),"Preferred date outside window",IF(G174&lt;Setup!$I$4,"Window expired",IF(OR(M174="",N174="Outside configured ranges"),"Outside age bands","Ready"))))))))))))</f>
        <v/>
      </c>
      <c r="S174" s="27">
        <f>IF(R174&lt;&gt;"Ready","",ROUND(O174*Setup!$I$5+MAX(0,Setup!$I$6-MAX(0,P174))*Setup!$I$7+Q174,1))</f>
        <v/>
      </c>
      <c r="T174" s="16">
        <f>IF(S174="","",1+COUNTIFS($R$2:$R$201,"Ready",$N$2:$N$201,N174,$S$2:$S$201,"&gt;"&amp;S174)+COUNTIFS($R$2:$R$201,"Ready",$N$2:$N$201,N174,$S$2:$S$201,"="&amp;S174,$B$2:$B$201,"&lt;"&amp;B174)+COUNTIFS($R$2:$R$201,"Ready",$N$2:$N$201,N174,$S$2:$S$201,"="&amp;S174,$B$2:$B$201,"="&amp;B174,$A$2:$A$201,"&lt;"&amp;A174))</f>
        <v/>
      </c>
      <c r="U174" s="17">
        <f>IF(A174="","",IF(R174&lt;&gt;"Ready",R174,IF(AND(K174="Not Contacted",J174&lt;&gt;""),"Clear last contact date or update outcome",IF(AND(K174&lt;&gt;"Not Contacted",J174=""),"Add last contact date",IF(AND(J174&lt;&gt;"",J174&gt;Setup!$I$4),"Last contact is after review date",IF(K174="Declined","Align status with declined outcome",IF(AND(L174&lt;&gt;"",L174&gt;G174),"Follow-up is after latest start",IF(AND(L174&lt;&gt;"",L174&lt;Setup!$I$4),"Follow-up overdue",IF(AND(L174&lt;&gt;"",L174&lt;=Setup!$I$4+Setup!$I$9),"Follow-up due soon",IF(AND(J174&lt;&gt;"",Setup!$I$4-J174&gt;Setup!$I$8),"Contact may be stale",""))))))))))</f>
        <v/>
      </c>
    </row>
    <row r="175" ht="22" customHeight="1">
      <c r="A175" s="13" t="n"/>
      <c r="B175" s="14" t="n"/>
      <c r="C175" s="15" t="n"/>
      <c r="D175" s="14" t="n"/>
      <c r="E175" s="14" t="n"/>
      <c r="F175" s="14" t="n"/>
      <c r="G175" s="14" t="n"/>
      <c r="H175" s="15" t="n"/>
      <c r="I175" s="13" t="n"/>
      <c r="J175" s="14" t="n"/>
      <c r="K175" s="15" t="n"/>
      <c r="L175" s="14" t="n"/>
      <c r="M175" s="16">
        <f>IF(OR(D175="",E175=""),"",12*(YEAR(E175)-YEAR(D175))+MONTH(E175)-MONTH(D175)-IF(DAY(E175)&lt;DAY(D175),1,0))</f>
        <v/>
      </c>
      <c r="N175" s="17">
        <f>IF(M175="","",IFERROR(IF(M175&lt;=VLOOKUP(M175,Setup!$A$4:$C$7,3,TRUE),VLOOKUP(M175,Setup!$A$4:$C$7,2,TRUE),"Outside configured ranges"),"Outside configured ranges"))</f>
        <v/>
      </c>
      <c r="O175" s="16">
        <f>IF(OR(B175="",B175&gt;Setup!$I$4),"",Setup!$I$4-B175)</f>
        <v/>
      </c>
      <c r="P175" s="16">
        <f>IF(G175="","",G175-Setup!$I$4)</f>
        <v/>
      </c>
      <c r="Q175" s="27">
        <f>IF(K175="","",IFERROR(VLOOKUP(K175,Setup!$E$4:$F$9,2,FALSE),""))</f>
        <v/>
      </c>
      <c r="R175" s="17">
        <f>IF(A175="","",IF(OR(B175="",C175="",D175="",E175="",F175="",G175="",H175="",I175="",K175=""),"Incomplete",IF(COUNTIF(Setup!$K$4:$K$8,I175)=0,"Invalid status",IF(COUNTIF(Setup!$L$4:$L$8,H175)=0,"Invalid schedule",IF(COUNTIF(Setup!$E$4:$E$9,K175)=0,"Invalid contact outcome",IF(I175&lt;&gt;"Active","Not active",IF(B175&gt;Setup!$I$4,"Future waitlist date",IF(D175&gt;E175,"Invalid age/date",IF(F175&gt;G175,"Invalid window",IF(OR(E175&lt;F175,E175&gt;G175),"Preferred date outside window",IF(G175&lt;Setup!$I$4,"Window expired",IF(OR(M175="",N175="Outside configured ranges"),"Outside age bands","Ready"))))))))))))</f>
        <v/>
      </c>
      <c r="S175" s="27">
        <f>IF(R175&lt;&gt;"Ready","",ROUND(O175*Setup!$I$5+MAX(0,Setup!$I$6-MAX(0,P175))*Setup!$I$7+Q175,1))</f>
        <v/>
      </c>
      <c r="T175" s="16">
        <f>IF(S175="","",1+COUNTIFS($R$2:$R$201,"Ready",$N$2:$N$201,N175,$S$2:$S$201,"&gt;"&amp;S175)+COUNTIFS($R$2:$R$201,"Ready",$N$2:$N$201,N175,$S$2:$S$201,"="&amp;S175,$B$2:$B$201,"&lt;"&amp;B175)+COUNTIFS($R$2:$R$201,"Ready",$N$2:$N$201,N175,$S$2:$S$201,"="&amp;S175,$B$2:$B$201,"="&amp;B175,$A$2:$A$201,"&lt;"&amp;A175))</f>
        <v/>
      </c>
      <c r="U175" s="17">
        <f>IF(A175="","",IF(R175&lt;&gt;"Ready",R175,IF(AND(K175="Not Contacted",J175&lt;&gt;""),"Clear last contact date or update outcome",IF(AND(K175&lt;&gt;"Not Contacted",J175=""),"Add last contact date",IF(AND(J175&lt;&gt;"",J175&gt;Setup!$I$4),"Last contact is after review date",IF(K175="Declined","Align status with declined outcome",IF(AND(L175&lt;&gt;"",L175&gt;G175),"Follow-up is after latest start",IF(AND(L175&lt;&gt;"",L175&lt;Setup!$I$4),"Follow-up overdue",IF(AND(L175&lt;&gt;"",L175&lt;=Setup!$I$4+Setup!$I$9),"Follow-up due soon",IF(AND(J175&lt;&gt;"",Setup!$I$4-J175&gt;Setup!$I$8),"Contact may be stale",""))))))))))</f>
        <v/>
      </c>
    </row>
    <row r="176" ht="22" customHeight="1">
      <c r="A176" s="13" t="n"/>
      <c r="B176" s="14" t="n"/>
      <c r="C176" s="15" t="n"/>
      <c r="D176" s="14" t="n"/>
      <c r="E176" s="14" t="n"/>
      <c r="F176" s="14" t="n"/>
      <c r="G176" s="14" t="n"/>
      <c r="H176" s="15" t="n"/>
      <c r="I176" s="13" t="n"/>
      <c r="J176" s="14" t="n"/>
      <c r="K176" s="15" t="n"/>
      <c r="L176" s="14" t="n"/>
      <c r="M176" s="16">
        <f>IF(OR(D176="",E176=""),"",12*(YEAR(E176)-YEAR(D176))+MONTH(E176)-MONTH(D176)-IF(DAY(E176)&lt;DAY(D176),1,0))</f>
        <v/>
      </c>
      <c r="N176" s="17">
        <f>IF(M176="","",IFERROR(IF(M176&lt;=VLOOKUP(M176,Setup!$A$4:$C$7,3,TRUE),VLOOKUP(M176,Setup!$A$4:$C$7,2,TRUE),"Outside configured ranges"),"Outside configured ranges"))</f>
        <v/>
      </c>
      <c r="O176" s="16">
        <f>IF(OR(B176="",B176&gt;Setup!$I$4),"",Setup!$I$4-B176)</f>
        <v/>
      </c>
      <c r="P176" s="16">
        <f>IF(G176="","",G176-Setup!$I$4)</f>
        <v/>
      </c>
      <c r="Q176" s="27">
        <f>IF(K176="","",IFERROR(VLOOKUP(K176,Setup!$E$4:$F$9,2,FALSE),""))</f>
        <v/>
      </c>
      <c r="R176" s="17">
        <f>IF(A176="","",IF(OR(B176="",C176="",D176="",E176="",F176="",G176="",H176="",I176="",K176=""),"Incomplete",IF(COUNTIF(Setup!$K$4:$K$8,I176)=0,"Invalid status",IF(COUNTIF(Setup!$L$4:$L$8,H176)=0,"Invalid schedule",IF(COUNTIF(Setup!$E$4:$E$9,K176)=0,"Invalid contact outcome",IF(I176&lt;&gt;"Active","Not active",IF(B176&gt;Setup!$I$4,"Future waitlist date",IF(D176&gt;E176,"Invalid age/date",IF(F176&gt;G176,"Invalid window",IF(OR(E176&lt;F176,E176&gt;G176),"Preferred date outside window",IF(G176&lt;Setup!$I$4,"Window expired",IF(OR(M176="",N176="Outside configured ranges"),"Outside age bands","Ready"))))))))))))</f>
        <v/>
      </c>
      <c r="S176" s="27">
        <f>IF(R176&lt;&gt;"Ready","",ROUND(O176*Setup!$I$5+MAX(0,Setup!$I$6-MAX(0,P176))*Setup!$I$7+Q176,1))</f>
        <v/>
      </c>
      <c r="T176" s="16">
        <f>IF(S176="","",1+COUNTIFS($R$2:$R$201,"Ready",$N$2:$N$201,N176,$S$2:$S$201,"&gt;"&amp;S176)+COUNTIFS($R$2:$R$201,"Ready",$N$2:$N$201,N176,$S$2:$S$201,"="&amp;S176,$B$2:$B$201,"&lt;"&amp;B176)+COUNTIFS($R$2:$R$201,"Ready",$N$2:$N$201,N176,$S$2:$S$201,"="&amp;S176,$B$2:$B$201,"="&amp;B176,$A$2:$A$201,"&lt;"&amp;A176))</f>
        <v/>
      </c>
      <c r="U176" s="17">
        <f>IF(A176="","",IF(R176&lt;&gt;"Ready",R176,IF(AND(K176="Not Contacted",J176&lt;&gt;""),"Clear last contact date or update outcome",IF(AND(K176&lt;&gt;"Not Contacted",J176=""),"Add last contact date",IF(AND(J176&lt;&gt;"",J176&gt;Setup!$I$4),"Last contact is after review date",IF(K176="Declined","Align status with declined outcome",IF(AND(L176&lt;&gt;"",L176&gt;G176),"Follow-up is after latest start",IF(AND(L176&lt;&gt;"",L176&lt;Setup!$I$4),"Follow-up overdue",IF(AND(L176&lt;&gt;"",L176&lt;=Setup!$I$4+Setup!$I$9),"Follow-up due soon",IF(AND(J176&lt;&gt;"",Setup!$I$4-J176&gt;Setup!$I$8),"Contact may be stale",""))))))))))</f>
        <v/>
      </c>
    </row>
    <row r="177" ht="22" customHeight="1">
      <c r="A177" s="13" t="n"/>
      <c r="B177" s="14" t="n"/>
      <c r="C177" s="15" t="n"/>
      <c r="D177" s="14" t="n"/>
      <c r="E177" s="14" t="n"/>
      <c r="F177" s="14" t="n"/>
      <c r="G177" s="14" t="n"/>
      <c r="H177" s="15" t="n"/>
      <c r="I177" s="13" t="n"/>
      <c r="J177" s="14" t="n"/>
      <c r="K177" s="15" t="n"/>
      <c r="L177" s="14" t="n"/>
      <c r="M177" s="16">
        <f>IF(OR(D177="",E177=""),"",12*(YEAR(E177)-YEAR(D177))+MONTH(E177)-MONTH(D177)-IF(DAY(E177)&lt;DAY(D177),1,0))</f>
        <v/>
      </c>
      <c r="N177" s="17">
        <f>IF(M177="","",IFERROR(IF(M177&lt;=VLOOKUP(M177,Setup!$A$4:$C$7,3,TRUE),VLOOKUP(M177,Setup!$A$4:$C$7,2,TRUE),"Outside configured ranges"),"Outside configured ranges"))</f>
        <v/>
      </c>
      <c r="O177" s="16">
        <f>IF(OR(B177="",B177&gt;Setup!$I$4),"",Setup!$I$4-B177)</f>
        <v/>
      </c>
      <c r="P177" s="16">
        <f>IF(G177="","",G177-Setup!$I$4)</f>
        <v/>
      </c>
      <c r="Q177" s="27">
        <f>IF(K177="","",IFERROR(VLOOKUP(K177,Setup!$E$4:$F$9,2,FALSE),""))</f>
        <v/>
      </c>
      <c r="R177" s="17">
        <f>IF(A177="","",IF(OR(B177="",C177="",D177="",E177="",F177="",G177="",H177="",I177="",K177=""),"Incomplete",IF(COUNTIF(Setup!$K$4:$K$8,I177)=0,"Invalid status",IF(COUNTIF(Setup!$L$4:$L$8,H177)=0,"Invalid schedule",IF(COUNTIF(Setup!$E$4:$E$9,K177)=0,"Invalid contact outcome",IF(I177&lt;&gt;"Active","Not active",IF(B177&gt;Setup!$I$4,"Future waitlist date",IF(D177&gt;E177,"Invalid age/date",IF(F177&gt;G177,"Invalid window",IF(OR(E177&lt;F177,E177&gt;G177),"Preferred date outside window",IF(G177&lt;Setup!$I$4,"Window expired",IF(OR(M177="",N177="Outside configured ranges"),"Outside age bands","Ready"))))))))))))</f>
        <v/>
      </c>
      <c r="S177" s="27">
        <f>IF(R177&lt;&gt;"Ready","",ROUND(O177*Setup!$I$5+MAX(0,Setup!$I$6-MAX(0,P177))*Setup!$I$7+Q177,1))</f>
        <v/>
      </c>
      <c r="T177" s="16">
        <f>IF(S177="","",1+COUNTIFS($R$2:$R$201,"Ready",$N$2:$N$201,N177,$S$2:$S$201,"&gt;"&amp;S177)+COUNTIFS($R$2:$R$201,"Ready",$N$2:$N$201,N177,$S$2:$S$201,"="&amp;S177,$B$2:$B$201,"&lt;"&amp;B177)+COUNTIFS($R$2:$R$201,"Ready",$N$2:$N$201,N177,$S$2:$S$201,"="&amp;S177,$B$2:$B$201,"="&amp;B177,$A$2:$A$201,"&lt;"&amp;A177))</f>
        <v/>
      </c>
      <c r="U177" s="17">
        <f>IF(A177="","",IF(R177&lt;&gt;"Ready",R177,IF(AND(K177="Not Contacted",J177&lt;&gt;""),"Clear last contact date or update outcome",IF(AND(K177&lt;&gt;"Not Contacted",J177=""),"Add last contact date",IF(AND(J177&lt;&gt;"",J177&gt;Setup!$I$4),"Last contact is after review date",IF(K177="Declined","Align status with declined outcome",IF(AND(L177&lt;&gt;"",L177&gt;G177),"Follow-up is after latest start",IF(AND(L177&lt;&gt;"",L177&lt;Setup!$I$4),"Follow-up overdue",IF(AND(L177&lt;&gt;"",L177&lt;=Setup!$I$4+Setup!$I$9),"Follow-up due soon",IF(AND(J177&lt;&gt;"",Setup!$I$4-J177&gt;Setup!$I$8),"Contact may be stale",""))))))))))</f>
        <v/>
      </c>
    </row>
    <row r="178" ht="22" customHeight="1">
      <c r="A178" s="13" t="n"/>
      <c r="B178" s="14" t="n"/>
      <c r="C178" s="15" t="n"/>
      <c r="D178" s="14" t="n"/>
      <c r="E178" s="14" t="n"/>
      <c r="F178" s="14" t="n"/>
      <c r="G178" s="14" t="n"/>
      <c r="H178" s="15" t="n"/>
      <c r="I178" s="13" t="n"/>
      <c r="J178" s="14" t="n"/>
      <c r="K178" s="15" t="n"/>
      <c r="L178" s="14" t="n"/>
      <c r="M178" s="16">
        <f>IF(OR(D178="",E178=""),"",12*(YEAR(E178)-YEAR(D178))+MONTH(E178)-MONTH(D178)-IF(DAY(E178)&lt;DAY(D178),1,0))</f>
        <v/>
      </c>
      <c r="N178" s="17">
        <f>IF(M178="","",IFERROR(IF(M178&lt;=VLOOKUP(M178,Setup!$A$4:$C$7,3,TRUE),VLOOKUP(M178,Setup!$A$4:$C$7,2,TRUE),"Outside configured ranges"),"Outside configured ranges"))</f>
        <v/>
      </c>
      <c r="O178" s="16">
        <f>IF(OR(B178="",B178&gt;Setup!$I$4),"",Setup!$I$4-B178)</f>
        <v/>
      </c>
      <c r="P178" s="16">
        <f>IF(G178="","",G178-Setup!$I$4)</f>
        <v/>
      </c>
      <c r="Q178" s="27">
        <f>IF(K178="","",IFERROR(VLOOKUP(K178,Setup!$E$4:$F$9,2,FALSE),""))</f>
        <v/>
      </c>
      <c r="R178" s="17">
        <f>IF(A178="","",IF(OR(B178="",C178="",D178="",E178="",F178="",G178="",H178="",I178="",K178=""),"Incomplete",IF(COUNTIF(Setup!$K$4:$K$8,I178)=0,"Invalid status",IF(COUNTIF(Setup!$L$4:$L$8,H178)=0,"Invalid schedule",IF(COUNTIF(Setup!$E$4:$E$9,K178)=0,"Invalid contact outcome",IF(I178&lt;&gt;"Active","Not active",IF(B178&gt;Setup!$I$4,"Future waitlist date",IF(D178&gt;E178,"Invalid age/date",IF(F178&gt;G178,"Invalid window",IF(OR(E178&lt;F178,E178&gt;G178),"Preferred date outside window",IF(G178&lt;Setup!$I$4,"Window expired",IF(OR(M178="",N178="Outside configured ranges"),"Outside age bands","Ready"))))))))))))</f>
        <v/>
      </c>
      <c r="S178" s="27">
        <f>IF(R178&lt;&gt;"Ready","",ROUND(O178*Setup!$I$5+MAX(0,Setup!$I$6-MAX(0,P178))*Setup!$I$7+Q178,1))</f>
        <v/>
      </c>
      <c r="T178" s="16">
        <f>IF(S178="","",1+COUNTIFS($R$2:$R$201,"Ready",$N$2:$N$201,N178,$S$2:$S$201,"&gt;"&amp;S178)+COUNTIFS($R$2:$R$201,"Ready",$N$2:$N$201,N178,$S$2:$S$201,"="&amp;S178,$B$2:$B$201,"&lt;"&amp;B178)+COUNTIFS($R$2:$R$201,"Ready",$N$2:$N$201,N178,$S$2:$S$201,"="&amp;S178,$B$2:$B$201,"="&amp;B178,$A$2:$A$201,"&lt;"&amp;A178))</f>
        <v/>
      </c>
      <c r="U178" s="17">
        <f>IF(A178="","",IF(R178&lt;&gt;"Ready",R178,IF(AND(K178="Not Contacted",J178&lt;&gt;""),"Clear last contact date or update outcome",IF(AND(K178&lt;&gt;"Not Contacted",J178=""),"Add last contact date",IF(AND(J178&lt;&gt;"",J178&gt;Setup!$I$4),"Last contact is after review date",IF(K178="Declined","Align status with declined outcome",IF(AND(L178&lt;&gt;"",L178&gt;G178),"Follow-up is after latest start",IF(AND(L178&lt;&gt;"",L178&lt;Setup!$I$4),"Follow-up overdue",IF(AND(L178&lt;&gt;"",L178&lt;=Setup!$I$4+Setup!$I$9),"Follow-up due soon",IF(AND(J178&lt;&gt;"",Setup!$I$4-J178&gt;Setup!$I$8),"Contact may be stale",""))))))))))</f>
        <v/>
      </c>
    </row>
    <row r="179" ht="22" customHeight="1">
      <c r="A179" s="13" t="n"/>
      <c r="B179" s="14" t="n"/>
      <c r="C179" s="15" t="n"/>
      <c r="D179" s="14" t="n"/>
      <c r="E179" s="14" t="n"/>
      <c r="F179" s="14" t="n"/>
      <c r="G179" s="14" t="n"/>
      <c r="H179" s="15" t="n"/>
      <c r="I179" s="13" t="n"/>
      <c r="J179" s="14" t="n"/>
      <c r="K179" s="15" t="n"/>
      <c r="L179" s="14" t="n"/>
      <c r="M179" s="16">
        <f>IF(OR(D179="",E179=""),"",12*(YEAR(E179)-YEAR(D179))+MONTH(E179)-MONTH(D179)-IF(DAY(E179)&lt;DAY(D179),1,0))</f>
        <v/>
      </c>
      <c r="N179" s="17">
        <f>IF(M179="","",IFERROR(IF(M179&lt;=VLOOKUP(M179,Setup!$A$4:$C$7,3,TRUE),VLOOKUP(M179,Setup!$A$4:$C$7,2,TRUE),"Outside configured ranges"),"Outside configured ranges"))</f>
        <v/>
      </c>
      <c r="O179" s="16">
        <f>IF(OR(B179="",B179&gt;Setup!$I$4),"",Setup!$I$4-B179)</f>
        <v/>
      </c>
      <c r="P179" s="16">
        <f>IF(G179="","",G179-Setup!$I$4)</f>
        <v/>
      </c>
      <c r="Q179" s="27">
        <f>IF(K179="","",IFERROR(VLOOKUP(K179,Setup!$E$4:$F$9,2,FALSE),""))</f>
        <v/>
      </c>
      <c r="R179" s="17">
        <f>IF(A179="","",IF(OR(B179="",C179="",D179="",E179="",F179="",G179="",H179="",I179="",K179=""),"Incomplete",IF(COUNTIF(Setup!$K$4:$K$8,I179)=0,"Invalid status",IF(COUNTIF(Setup!$L$4:$L$8,H179)=0,"Invalid schedule",IF(COUNTIF(Setup!$E$4:$E$9,K179)=0,"Invalid contact outcome",IF(I179&lt;&gt;"Active","Not active",IF(B179&gt;Setup!$I$4,"Future waitlist date",IF(D179&gt;E179,"Invalid age/date",IF(F179&gt;G179,"Invalid window",IF(OR(E179&lt;F179,E179&gt;G179),"Preferred date outside window",IF(G179&lt;Setup!$I$4,"Window expired",IF(OR(M179="",N179="Outside configured ranges"),"Outside age bands","Ready"))))))))))))</f>
        <v/>
      </c>
      <c r="S179" s="27">
        <f>IF(R179&lt;&gt;"Ready","",ROUND(O179*Setup!$I$5+MAX(0,Setup!$I$6-MAX(0,P179))*Setup!$I$7+Q179,1))</f>
        <v/>
      </c>
      <c r="T179" s="16">
        <f>IF(S179="","",1+COUNTIFS($R$2:$R$201,"Ready",$N$2:$N$201,N179,$S$2:$S$201,"&gt;"&amp;S179)+COUNTIFS($R$2:$R$201,"Ready",$N$2:$N$201,N179,$S$2:$S$201,"="&amp;S179,$B$2:$B$201,"&lt;"&amp;B179)+COUNTIFS($R$2:$R$201,"Ready",$N$2:$N$201,N179,$S$2:$S$201,"="&amp;S179,$B$2:$B$201,"="&amp;B179,$A$2:$A$201,"&lt;"&amp;A179))</f>
        <v/>
      </c>
      <c r="U179" s="17">
        <f>IF(A179="","",IF(R179&lt;&gt;"Ready",R179,IF(AND(K179="Not Contacted",J179&lt;&gt;""),"Clear last contact date or update outcome",IF(AND(K179&lt;&gt;"Not Contacted",J179=""),"Add last contact date",IF(AND(J179&lt;&gt;"",J179&gt;Setup!$I$4),"Last contact is after review date",IF(K179="Declined","Align status with declined outcome",IF(AND(L179&lt;&gt;"",L179&gt;G179),"Follow-up is after latest start",IF(AND(L179&lt;&gt;"",L179&lt;Setup!$I$4),"Follow-up overdue",IF(AND(L179&lt;&gt;"",L179&lt;=Setup!$I$4+Setup!$I$9),"Follow-up due soon",IF(AND(J179&lt;&gt;"",Setup!$I$4-J179&gt;Setup!$I$8),"Contact may be stale",""))))))))))</f>
        <v/>
      </c>
    </row>
    <row r="180" ht="22" customHeight="1">
      <c r="A180" s="13" t="n"/>
      <c r="B180" s="14" t="n"/>
      <c r="C180" s="15" t="n"/>
      <c r="D180" s="14" t="n"/>
      <c r="E180" s="14" t="n"/>
      <c r="F180" s="14" t="n"/>
      <c r="G180" s="14" t="n"/>
      <c r="H180" s="15" t="n"/>
      <c r="I180" s="13" t="n"/>
      <c r="J180" s="14" t="n"/>
      <c r="K180" s="15" t="n"/>
      <c r="L180" s="14" t="n"/>
      <c r="M180" s="16">
        <f>IF(OR(D180="",E180=""),"",12*(YEAR(E180)-YEAR(D180))+MONTH(E180)-MONTH(D180)-IF(DAY(E180)&lt;DAY(D180),1,0))</f>
        <v/>
      </c>
      <c r="N180" s="17">
        <f>IF(M180="","",IFERROR(IF(M180&lt;=VLOOKUP(M180,Setup!$A$4:$C$7,3,TRUE),VLOOKUP(M180,Setup!$A$4:$C$7,2,TRUE),"Outside configured ranges"),"Outside configured ranges"))</f>
        <v/>
      </c>
      <c r="O180" s="16">
        <f>IF(OR(B180="",B180&gt;Setup!$I$4),"",Setup!$I$4-B180)</f>
        <v/>
      </c>
      <c r="P180" s="16">
        <f>IF(G180="","",G180-Setup!$I$4)</f>
        <v/>
      </c>
      <c r="Q180" s="27">
        <f>IF(K180="","",IFERROR(VLOOKUP(K180,Setup!$E$4:$F$9,2,FALSE),""))</f>
        <v/>
      </c>
      <c r="R180" s="17">
        <f>IF(A180="","",IF(OR(B180="",C180="",D180="",E180="",F180="",G180="",H180="",I180="",K180=""),"Incomplete",IF(COUNTIF(Setup!$K$4:$K$8,I180)=0,"Invalid status",IF(COUNTIF(Setup!$L$4:$L$8,H180)=0,"Invalid schedule",IF(COUNTIF(Setup!$E$4:$E$9,K180)=0,"Invalid contact outcome",IF(I180&lt;&gt;"Active","Not active",IF(B180&gt;Setup!$I$4,"Future waitlist date",IF(D180&gt;E180,"Invalid age/date",IF(F180&gt;G180,"Invalid window",IF(OR(E180&lt;F180,E180&gt;G180),"Preferred date outside window",IF(G180&lt;Setup!$I$4,"Window expired",IF(OR(M180="",N180="Outside configured ranges"),"Outside age bands","Ready"))))))))))))</f>
        <v/>
      </c>
      <c r="S180" s="27">
        <f>IF(R180&lt;&gt;"Ready","",ROUND(O180*Setup!$I$5+MAX(0,Setup!$I$6-MAX(0,P180))*Setup!$I$7+Q180,1))</f>
        <v/>
      </c>
      <c r="T180" s="16">
        <f>IF(S180="","",1+COUNTIFS($R$2:$R$201,"Ready",$N$2:$N$201,N180,$S$2:$S$201,"&gt;"&amp;S180)+COUNTIFS($R$2:$R$201,"Ready",$N$2:$N$201,N180,$S$2:$S$201,"="&amp;S180,$B$2:$B$201,"&lt;"&amp;B180)+COUNTIFS($R$2:$R$201,"Ready",$N$2:$N$201,N180,$S$2:$S$201,"="&amp;S180,$B$2:$B$201,"="&amp;B180,$A$2:$A$201,"&lt;"&amp;A180))</f>
        <v/>
      </c>
      <c r="U180" s="17">
        <f>IF(A180="","",IF(R180&lt;&gt;"Ready",R180,IF(AND(K180="Not Contacted",J180&lt;&gt;""),"Clear last contact date or update outcome",IF(AND(K180&lt;&gt;"Not Contacted",J180=""),"Add last contact date",IF(AND(J180&lt;&gt;"",J180&gt;Setup!$I$4),"Last contact is after review date",IF(K180="Declined","Align status with declined outcome",IF(AND(L180&lt;&gt;"",L180&gt;G180),"Follow-up is after latest start",IF(AND(L180&lt;&gt;"",L180&lt;Setup!$I$4),"Follow-up overdue",IF(AND(L180&lt;&gt;"",L180&lt;=Setup!$I$4+Setup!$I$9),"Follow-up due soon",IF(AND(J180&lt;&gt;"",Setup!$I$4-J180&gt;Setup!$I$8),"Contact may be stale",""))))))))))</f>
        <v/>
      </c>
    </row>
    <row r="181" ht="22" customHeight="1">
      <c r="A181" s="13" t="n"/>
      <c r="B181" s="14" t="n"/>
      <c r="C181" s="15" t="n"/>
      <c r="D181" s="14" t="n"/>
      <c r="E181" s="14" t="n"/>
      <c r="F181" s="14" t="n"/>
      <c r="G181" s="14" t="n"/>
      <c r="H181" s="15" t="n"/>
      <c r="I181" s="13" t="n"/>
      <c r="J181" s="14" t="n"/>
      <c r="K181" s="15" t="n"/>
      <c r="L181" s="14" t="n"/>
      <c r="M181" s="16">
        <f>IF(OR(D181="",E181=""),"",12*(YEAR(E181)-YEAR(D181))+MONTH(E181)-MONTH(D181)-IF(DAY(E181)&lt;DAY(D181),1,0))</f>
        <v/>
      </c>
      <c r="N181" s="17">
        <f>IF(M181="","",IFERROR(IF(M181&lt;=VLOOKUP(M181,Setup!$A$4:$C$7,3,TRUE),VLOOKUP(M181,Setup!$A$4:$C$7,2,TRUE),"Outside configured ranges"),"Outside configured ranges"))</f>
        <v/>
      </c>
      <c r="O181" s="16">
        <f>IF(OR(B181="",B181&gt;Setup!$I$4),"",Setup!$I$4-B181)</f>
        <v/>
      </c>
      <c r="P181" s="16">
        <f>IF(G181="","",G181-Setup!$I$4)</f>
        <v/>
      </c>
      <c r="Q181" s="27">
        <f>IF(K181="","",IFERROR(VLOOKUP(K181,Setup!$E$4:$F$9,2,FALSE),""))</f>
        <v/>
      </c>
      <c r="R181" s="17">
        <f>IF(A181="","",IF(OR(B181="",C181="",D181="",E181="",F181="",G181="",H181="",I181="",K181=""),"Incomplete",IF(COUNTIF(Setup!$K$4:$K$8,I181)=0,"Invalid status",IF(COUNTIF(Setup!$L$4:$L$8,H181)=0,"Invalid schedule",IF(COUNTIF(Setup!$E$4:$E$9,K181)=0,"Invalid contact outcome",IF(I181&lt;&gt;"Active","Not active",IF(B181&gt;Setup!$I$4,"Future waitlist date",IF(D181&gt;E181,"Invalid age/date",IF(F181&gt;G181,"Invalid window",IF(OR(E181&lt;F181,E181&gt;G181),"Preferred date outside window",IF(G181&lt;Setup!$I$4,"Window expired",IF(OR(M181="",N181="Outside configured ranges"),"Outside age bands","Ready"))))))))))))</f>
        <v/>
      </c>
      <c r="S181" s="27">
        <f>IF(R181&lt;&gt;"Ready","",ROUND(O181*Setup!$I$5+MAX(0,Setup!$I$6-MAX(0,P181))*Setup!$I$7+Q181,1))</f>
        <v/>
      </c>
      <c r="T181" s="16">
        <f>IF(S181="","",1+COUNTIFS($R$2:$R$201,"Ready",$N$2:$N$201,N181,$S$2:$S$201,"&gt;"&amp;S181)+COUNTIFS($R$2:$R$201,"Ready",$N$2:$N$201,N181,$S$2:$S$201,"="&amp;S181,$B$2:$B$201,"&lt;"&amp;B181)+COUNTIFS($R$2:$R$201,"Ready",$N$2:$N$201,N181,$S$2:$S$201,"="&amp;S181,$B$2:$B$201,"="&amp;B181,$A$2:$A$201,"&lt;"&amp;A181))</f>
        <v/>
      </c>
      <c r="U181" s="17">
        <f>IF(A181="","",IF(R181&lt;&gt;"Ready",R181,IF(AND(K181="Not Contacted",J181&lt;&gt;""),"Clear last contact date or update outcome",IF(AND(K181&lt;&gt;"Not Contacted",J181=""),"Add last contact date",IF(AND(J181&lt;&gt;"",J181&gt;Setup!$I$4),"Last contact is after review date",IF(K181="Declined","Align status with declined outcome",IF(AND(L181&lt;&gt;"",L181&gt;G181),"Follow-up is after latest start",IF(AND(L181&lt;&gt;"",L181&lt;Setup!$I$4),"Follow-up overdue",IF(AND(L181&lt;&gt;"",L181&lt;=Setup!$I$4+Setup!$I$9),"Follow-up due soon",IF(AND(J181&lt;&gt;"",Setup!$I$4-J181&gt;Setup!$I$8),"Contact may be stale",""))))))))))</f>
        <v/>
      </c>
    </row>
    <row r="182" ht="22" customHeight="1">
      <c r="A182" s="13" t="n"/>
      <c r="B182" s="14" t="n"/>
      <c r="C182" s="15" t="n"/>
      <c r="D182" s="14" t="n"/>
      <c r="E182" s="14" t="n"/>
      <c r="F182" s="14" t="n"/>
      <c r="G182" s="14" t="n"/>
      <c r="H182" s="15" t="n"/>
      <c r="I182" s="13" t="n"/>
      <c r="J182" s="14" t="n"/>
      <c r="K182" s="15" t="n"/>
      <c r="L182" s="14" t="n"/>
      <c r="M182" s="16">
        <f>IF(OR(D182="",E182=""),"",12*(YEAR(E182)-YEAR(D182))+MONTH(E182)-MONTH(D182)-IF(DAY(E182)&lt;DAY(D182),1,0))</f>
        <v/>
      </c>
      <c r="N182" s="17">
        <f>IF(M182="","",IFERROR(IF(M182&lt;=VLOOKUP(M182,Setup!$A$4:$C$7,3,TRUE),VLOOKUP(M182,Setup!$A$4:$C$7,2,TRUE),"Outside configured ranges"),"Outside configured ranges"))</f>
        <v/>
      </c>
      <c r="O182" s="16">
        <f>IF(OR(B182="",B182&gt;Setup!$I$4),"",Setup!$I$4-B182)</f>
        <v/>
      </c>
      <c r="P182" s="16">
        <f>IF(G182="","",G182-Setup!$I$4)</f>
        <v/>
      </c>
      <c r="Q182" s="27">
        <f>IF(K182="","",IFERROR(VLOOKUP(K182,Setup!$E$4:$F$9,2,FALSE),""))</f>
        <v/>
      </c>
      <c r="R182" s="17">
        <f>IF(A182="","",IF(OR(B182="",C182="",D182="",E182="",F182="",G182="",H182="",I182="",K182=""),"Incomplete",IF(COUNTIF(Setup!$K$4:$K$8,I182)=0,"Invalid status",IF(COUNTIF(Setup!$L$4:$L$8,H182)=0,"Invalid schedule",IF(COUNTIF(Setup!$E$4:$E$9,K182)=0,"Invalid contact outcome",IF(I182&lt;&gt;"Active","Not active",IF(B182&gt;Setup!$I$4,"Future waitlist date",IF(D182&gt;E182,"Invalid age/date",IF(F182&gt;G182,"Invalid window",IF(OR(E182&lt;F182,E182&gt;G182),"Preferred date outside window",IF(G182&lt;Setup!$I$4,"Window expired",IF(OR(M182="",N182="Outside configured ranges"),"Outside age bands","Ready"))))))))))))</f>
        <v/>
      </c>
      <c r="S182" s="27">
        <f>IF(R182&lt;&gt;"Ready","",ROUND(O182*Setup!$I$5+MAX(0,Setup!$I$6-MAX(0,P182))*Setup!$I$7+Q182,1))</f>
        <v/>
      </c>
      <c r="T182" s="16">
        <f>IF(S182="","",1+COUNTIFS($R$2:$R$201,"Ready",$N$2:$N$201,N182,$S$2:$S$201,"&gt;"&amp;S182)+COUNTIFS($R$2:$R$201,"Ready",$N$2:$N$201,N182,$S$2:$S$201,"="&amp;S182,$B$2:$B$201,"&lt;"&amp;B182)+COUNTIFS($R$2:$R$201,"Ready",$N$2:$N$201,N182,$S$2:$S$201,"="&amp;S182,$B$2:$B$201,"="&amp;B182,$A$2:$A$201,"&lt;"&amp;A182))</f>
        <v/>
      </c>
      <c r="U182" s="17">
        <f>IF(A182="","",IF(R182&lt;&gt;"Ready",R182,IF(AND(K182="Not Contacted",J182&lt;&gt;""),"Clear last contact date or update outcome",IF(AND(K182&lt;&gt;"Not Contacted",J182=""),"Add last contact date",IF(AND(J182&lt;&gt;"",J182&gt;Setup!$I$4),"Last contact is after review date",IF(K182="Declined","Align status with declined outcome",IF(AND(L182&lt;&gt;"",L182&gt;G182),"Follow-up is after latest start",IF(AND(L182&lt;&gt;"",L182&lt;Setup!$I$4),"Follow-up overdue",IF(AND(L182&lt;&gt;"",L182&lt;=Setup!$I$4+Setup!$I$9),"Follow-up due soon",IF(AND(J182&lt;&gt;"",Setup!$I$4-J182&gt;Setup!$I$8),"Contact may be stale",""))))))))))</f>
        <v/>
      </c>
    </row>
    <row r="183" ht="22" customHeight="1">
      <c r="A183" s="13" t="n"/>
      <c r="B183" s="14" t="n"/>
      <c r="C183" s="15" t="n"/>
      <c r="D183" s="14" t="n"/>
      <c r="E183" s="14" t="n"/>
      <c r="F183" s="14" t="n"/>
      <c r="G183" s="14" t="n"/>
      <c r="H183" s="15" t="n"/>
      <c r="I183" s="13" t="n"/>
      <c r="J183" s="14" t="n"/>
      <c r="K183" s="15" t="n"/>
      <c r="L183" s="14" t="n"/>
      <c r="M183" s="16">
        <f>IF(OR(D183="",E183=""),"",12*(YEAR(E183)-YEAR(D183))+MONTH(E183)-MONTH(D183)-IF(DAY(E183)&lt;DAY(D183),1,0))</f>
        <v/>
      </c>
      <c r="N183" s="17">
        <f>IF(M183="","",IFERROR(IF(M183&lt;=VLOOKUP(M183,Setup!$A$4:$C$7,3,TRUE),VLOOKUP(M183,Setup!$A$4:$C$7,2,TRUE),"Outside configured ranges"),"Outside configured ranges"))</f>
        <v/>
      </c>
      <c r="O183" s="16">
        <f>IF(OR(B183="",B183&gt;Setup!$I$4),"",Setup!$I$4-B183)</f>
        <v/>
      </c>
      <c r="P183" s="16">
        <f>IF(G183="","",G183-Setup!$I$4)</f>
        <v/>
      </c>
      <c r="Q183" s="27">
        <f>IF(K183="","",IFERROR(VLOOKUP(K183,Setup!$E$4:$F$9,2,FALSE),""))</f>
        <v/>
      </c>
      <c r="R183" s="17">
        <f>IF(A183="","",IF(OR(B183="",C183="",D183="",E183="",F183="",G183="",H183="",I183="",K183=""),"Incomplete",IF(COUNTIF(Setup!$K$4:$K$8,I183)=0,"Invalid status",IF(COUNTIF(Setup!$L$4:$L$8,H183)=0,"Invalid schedule",IF(COUNTIF(Setup!$E$4:$E$9,K183)=0,"Invalid contact outcome",IF(I183&lt;&gt;"Active","Not active",IF(B183&gt;Setup!$I$4,"Future waitlist date",IF(D183&gt;E183,"Invalid age/date",IF(F183&gt;G183,"Invalid window",IF(OR(E183&lt;F183,E183&gt;G183),"Preferred date outside window",IF(G183&lt;Setup!$I$4,"Window expired",IF(OR(M183="",N183="Outside configured ranges"),"Outside age bands","Ready"))))))))))))</f>
        <v/>
      </c>
      <c r="S183" s="27">
        <f>IF(R183&lt;&gt;"Ready","",ROUND(O183*Setup!$I$5+MAX(0,Setup!$I$6-MAX(0,P183))*Setup!$I$7+Q183,1))</f>
        <v/>
      </c>
      <c r="T183" s="16">
        <f>IF(S183="","",1+COUNTIFS($R$2:$R$201,"Ready",$N$2:$N$201,N183,$S$2:$S$201,"&gt;"&amp;S183)+COUNTIFS($R$2:$R$201,"Ready",$N$2:$N$201,N183,$S$2:$S$201,"="&amp;S183,$B$2:$B$201,"&lt;"&amp;B183)+COUNTIFS($R$2:$R$201,"Ready",$N$2:$N$201,N183,$S$2:$S$201,"="&amp;S183,$B$2:$B$201,"="&amp;B183,$A$2:$A$201,"&lt;"&amp;A183))</f>
        <v/>
      </c>
      <c r="U183" s="17">
        <f>IF(A183="","",IF(R183&lt;&gt;"Ready",R183,IF(AND(K183="Not Contacted",J183&lt;&gt;""),"Clear last contact date or update outcome",IF(AND(K183&lt;&gt;"Not Contacted",J183=""),"Add last contact date",IF(AND(J183&lt;&gt;"",J183&gt;Setup!$I$4),"Last contact is after review date",IF(K183="Declined","Align status with declined outcome",IF(AND(L183&lt;&gt;"",L183&gt;G183),"Follow-up is after latest start",IF(AND(L183&lt;&gt;"",L183&lt;Setup!$I$4),"Follow-up overdue",IF(AND(L183&lt;&gt;"",L183&lt;=Setup!$I$4+Setup!$I$9),"Follow-up due soon",IF(AND(J183&lt;&gt;"",Setup!$I$4-J183&gt;Setup!$I$8),"Contact may be stale",""))))))))))</f>
        <v/>
      </c>
    </row>
    <row r="184" ht="22" customHeight="1">
      <c r="A184" s="13" t="n"/>
      <c r="B184" s="14" t="n"/>
      <c r="C184" s="15" t="n"/>
      <c r="D184" s="14" t="n"/>
      <c r="E184" s="14" t="n"/>
      <c r="F184" s="14" t="n"/>
      <c r="G184" s="14" t="n"/>
      <c r="H184" s="15" t="n"/>
      <c r="I184" s="13" t="n"/>
      <c r="J184" s="14" t="n"/>
      <c r="K184" s="15" t="n"/>
      <c r="L184" s="14" t="n"/>
      <c r="M184" s="16">
        <f>IF(OR(D184="",E184=""),"",12*(YEAR(E184)-YEAR(D184))+MONTH(E184)-MONTH(D184)-IF(DAY(E184)&lt;DAY(D184),1,0))</f>
        <v/>
      </c>
      <c r="N184" s="17">
        <f>IF(M184="","",IFERROR(IF(M184&lt;=VLOOKUP(M184,Setup!$A$4:$C$7,3,TRUE),VLOOKUP(M184,Setup!$A$4:$C$7,2,TRUE),"Outside configured ranges"),"Outside configured ranges"))</f>
        <v/>
      </c>
      <c r="O184" s="16">
        <f>IF(OR(B184="",B184&gt;Setup!$I$4),"",Setup!$I$4-B184)</f>
        <v/>
      </c>
      <c r="P184" s="16">
        <f>IF(G184="","",G184-Setup!$I$4)</f>
        <v/>
      </c>
      <c r="Q184" s="27">
        <f>IF(K184="","",IFERROR(VLOOKUP(K184,Setup!$E$4:$F$9,2,FALSE),""))</f>
        <v/>
      </c>
      <c r="R184" s="17">
        <f>IF(A184="","",IF(OR(B184="",C184="",D184="",E184="",F184="",G184="",H184="",I184="",K184=""),"Incomplete",IF(COUNTIF(Setup!$K$4:$K$8,I184)=0,"Invalid status",IF(COUNTIF(Setup!$L$4:$L$8,H184)=0,"Invalid schedule",IF(COUNTIF(Setup!$E$4:$E$9,K184)=0,"Invalid contact outcome",IF(I184&lt;&gt;"Active","Not active",IF(B184&gt;Setup!$I$4,"Future waitlist date",IF(D184&gt;E184,"Invalid age/date",IF(F184&gt;G184,"Invalid window",IF(OR(E184&lt;F184,E184&gt;G184),"Preferred date outside window",IF(G184&lt;Setup!$I$4,"Window expired",IF(OR(M184="",N184="Outside configured ranges"),"Outside age bands","Ready"))))))))))))</f>
        <v/>
      </c>
      <c r="S184" s="27">
        <f>IF(R184&lt;&gt;"Ready","",ROUND(O184*Setup!$I$5+MAX(0,Setup!$I$6-MAX(0,P184))*Setup!$I$7+Q184,1))</f>
        <v/>
      </c>
      <c r="T184" s="16">
        <f>IF(S184="","",1+COUNTIFS($R$2:$R$201,"Ready",$N$2:$N$201,N184,$S$2:$S$201,"&gt;"&amp;S184)+COUNTIFS($R$2:$R$201,"Ready",$N$2:$N$201,N184,$S$2:$S$201,"="&amp;S184,$B$2:$B$201,"&lt;"&amp;B184)+COUNTIFS($R$2:$R$201,"Ready",$N$2:$N$201,N184,$S$2:$S$201,"="&amp;S184,$B$2:$B$201,"="&amp;B184,$A$2:$A$201,"&lt;"&amp;A184))</f>
        <v/>
      </c>
      <c r="U184" s="17">
        <f>IF(A184="","",IF(R184&lt;&gt;"Ready",R184,IF(AND(K184="Not Contacted",J184&lt;&gt;""),"Clear last contact date or update outcome",IF(AND(K184&lt;&gt;"Not Contacted",J184=""),"Add last contact date",IF(AND(J184&lt;&gt;"",J184&gt;Setup!$I$4),"Last contact is after review date",IF(K184="Declined","Align status with declined outcome",IF(AND(L184&lt;&gt;"",L184&gt;G184),"Follow-up is after latest start",IF(AND(L184&lt;&gt;"",L184&lt;Setup!$I$4),"Follow-up overdue",IF(AND(L184&lt;&gt;"",L184&lt;=Setup!$I$4+Setup!$I$9),"Follow-up due soon",IF(AND(J184&lt;&gt;"",Setup!$I$4-J184&gt;Setup!$I$8),"Contact may be stale",""))))))))))</f>
        <v/>
      </c>
    </row>
    <row r="185" ht="22" customHeight="1">
      <c r="A185" s="13" t="n"/>
      <c r="B185" s="14" t="n"/>
      <c r="C185" s="15" t="n"/>
      <c r="D185" s="14" t="n"/>
      <c r="E185" s="14" t="n"/>
      <c r="F185" s="14" t="n"/>
      <c r="G185" s="14" t="n"/>
      <c r="H185" s="15" t="n"/>
      <c r="I185" s="13" t="n"/>
      <c r="J185" s="14" t="n"/>
      <c r="K185" s="15" t="n"/>
      <c r="L185" s="14" t="n"/>
      <c r="M185" s="16">
        <f>IF(OR(D185="",E185=""),"",12*(YEAR(E185)-YEAR(D185))+MONTH(E185)-MONTH(D185)-IF(DAY(E185)&lt;DAY(D185),1,0))</f>
        <v/>
      </c>
      <c r="N185" s="17">
        <f>IF(M185="","",IFERROR(IF(M185&lt;=VLOOKUP(M185,Setup!$A$4:$C$7,3,TRUE),VLOOKUP(M185,Setup!$A$4:$C$7,2,TRUE),"Outside configured ranges"),"Outside configured ranges"))</f>
        <v/>
      </c>
      <c r="O185" s="16">
        <f>IF(OR(B185="",B185&gt;Setup!$I$4),"",Setup!$I$4-B185)</f>
        <v/>
      </c>
      <c r="P185" s="16">
        <f>IF(G185="","",G185-Setup!$I$4)</f>
        <v/>
      </c>
      <c r="Q185" s="27">
        <f>IF(K185="","",IFERROR(VLOOKUP(K185,Setup!$E$4:$F$9,2,FALSE),""))</f>
        <v/>
      </c>
      <c r="R185" s="17">
        <f>IF(A185="","",IF(OR(B185="",C185="",D185="",E185="",F185="",G185="",H185="",I185="",K185=""),"Incomplete",IF(COUNTIF(Setup!$K$4:$K$8,I185)=0,"Invalid status",IF(COUNTIF(Setup!$L$4:$L$8,H185)=0,"Invalid schedule",IF(COUNTIF(Setup!$E$4:$E$9,K185)=0,"Invalid contact outcome",IF(I185&lt;&gt;"Active","Not active",IF(B185&gt;Setup!$I$4,"Future waitlist date",IF(D185&gt;E185,"Invalid age/date",IF(F185&gt;G185,"Invalid window",IF(OR(E185&lt;F185,E185&gt;G185),"Preferred date outside window",IF(G185&lt;Setup!$I$4,"Window expired",IF(OR(M185="",N185="Outside configured ranges"),"Outside age bands","Ready"))))))))))))</f>
        <v/>
      </c>
      <c r="S185" s="27">
        <f>IF(R185&lt;&gt;"Ready","",ROUND(O185*Setup!$I$5+MAX(0,Setup!$I$6-MAX(0,P185))*Setup!$I$7+Q185,1))</f>
        <v/>
      </c>
      <c r="T185" s="16">
        <f>IF(S185="","",1+COUNTIFS($R$2:$R$201,"Ready",$N$2:$N$201,N185,$S$2:$S$201,"&gt;"&amp;S185)+COUNTIFS($R$2:$R$201,"Ready",$N$2:$N$201,N185,$S$2:$S$201,"="&amp;S185,$B$2:$B$201,"&lt;"&amp;B185)+COUNTIFS($R$2:$R$201,"Ready",$N$2:$N$201,N185,$S$2:$S$201,"="&amp;S185,$B$2:$B$201,"="&amp;B185,$A$2:$A$201,"&lt;"&amp;A185))</f>
        <v/>
      </c>
      <c r="U185" s="17">
        <f>IF(A185="","",IF(R185&lt;&gt;"Ready",R185,IF(AND(K185="Not Contacted",J185&lt;&gt;""),"Clear last contact date or update outcome",IF(AND(K185&lt;&gt;"Not Contacted",J185=""),"Add last contact date",IF(AND(J185&lt;&gt;"",J185&gt;Setup!$I$4),"Last contact is after review date",IF(K185="Declined","Align status with declined outcome",IF(AND(L185&lt;&gt;"",L185&gt;G185),"Follow-up is after latest start",IF(AND(L185&lt;&gt;"",L185&lt;Setup!$I$4),"Follow-up overdue",IF(AND(L185&lt;&gt;"",L185&lt;=Setup!$I$4+Setup!$I$9),"Follow-up due soon",IF(AND(J185&lt;&gt;"",Setup!$I$4-J185&gt;Setup!$I$8),"Contact may be stale",""))))))))))</f>
        <v/>
      </c>
    </row>
    <row r="186" ht="22" customHeight="1">
      <c r="A186" s="13" t="n"/>
      <c r="B186" s="14" t="n"/>
      <c r="C186" s="15" t="n"/>
      <c r="D186" s="14" t="n"/>
      <c r="E186" s="14" t="n"/>
      <c r="F186" s="14" t="n"/>
      <c r="G186" s="14" t="n"/>
      <c r="H186" s="15" t="n"/>
      <c r="I186" s="13" t="n"/>
      <c r="J186" s="14" t="n"/>
      <c r="K186" s="15" t="n"/>
      <c r="L186" s="14" t="n"/>
      <c r="M186" s="16">
        <f>IF(OR(D186="",E186=""),"",12*(YEAR(E186)-YEAR(D186))+MONTH(E186)-MONTH(D186)-IF(DAY(E186)&lt;DAY(D186),1,0))</f>
        <v/>
      </c>
      <c r="N186" s="17">
        <f>IF(M186="","",IFERROR(IF(M186&lt;=VLOOKUP(M186,Setup!$A$4:$C$7,3,TRUE),VLOOKUP(M186,Setup!$A$4:$C$7,2,TRUE),"Outside configured ranges"),"Outside configured ranges"))</f>
        <v/>
      </c>
      <c r="O186" s="16">
        <f>IF(OR(B186="",B186&gt;Setup!$I$4),"",Setup!$I$4-B186)</f>
        <v/>
      </c>
      <c r="P186" s="16">
        <f>IF(G186="","",G186-Setup!$I$4)</f>
        <v/>
      </c>
      <c r="Q186" s="27">
        <f>IF(K186="","",IFERROR(VLOOKUP(K186,Setup!$E$4:$F$9,2,FALSE),""))</f>
        <v/>
      </c>
      <c r="R186" s="17">
        <f>IF(A186="","",IF(OR(B186="",C186="",D186="",E186="",F186="",G186="",H186="",I186="",K186=""),"Incomplete",IF(COUNTIF(Setup!$K$4:$K$8,I186)=0,"Invalid status",IF(COUNTIF(Setup!$L$4:$L$8,H186)=0,"Invalid schedule",IF(COUNTIF(Setup!$E$4:$E$9,K186)=0,"Invalid contact outcome",IF(I186&lt;&gt;"Active","Not active",IF(B186&gt;Setup!$I$4,"Future waitlist date",IF(D186&gt;E186,"Invalid age/date",IF(F186&gt;G186,"Invalid window",IF(OR(E186&lt;F186,E186&gt;G186),"Preferred date outside window",IF(G186&lt;Setup!$I$4,"Window expired",IF(OR(M186="",N186="Outside configured ranges"),"Outside age bands","Ready"))))))))))))</f>
        <v/>
      </c>
      <c r="S186" s="27">
        <f>IF(R186&lt;&gt;"Ready","",ROUND(O186*Setup!$I$5+MAX(0,Setup!$I$6-MAX(0,P186))*Setup!$I$7+Q186,1))</f>
        <v/>
      </c>
      <c r="T186" s="16">
        <f>IF(S186="","",1+COUNTIFS($R$2:$R$201,"Ready",$N$2:$N$201,N186,$S$2:$S$201,"&gt;"&amp;S186)+COUNTIFS($R$2:$R$201,"Ready",$N$2:$N$201,N186,$S$2:$S$201,"="&amp;S186,$B$2:$B$201,"&lt;"&amp;B186)+COUNTIFS($R$2:$R$201,"Ready",$N$2:$N$201,N186,$S$2:$S$201,"="&amp;S186,$B$2:$B$201,"="&amp;B186,$A$2:$A$201,"&lt;"&amp;A186))</f>
        <v/>
      </c>
      <c r="U186" s="17">
        <f>IF(A186="","",IF(R186&lt;&gt;"Ready",R186,IF(AND(K186="Not Contacted",J186&lt;&gt;""),"Clear last contact date or update outcome",IF(AND(K186&lt;&gt;"Not Contacted",J186=""),"Add last contact date",IF(AND(J186&lt;&gt;"",J186&gt;Setup!$I$4),"Last contact is after review date",IF(K186="Declined","Align status with declined outcome",IF(AND(L186&lt;&gt;"",L186&gt;G186),"Follow-up is after latest start",IF(AND(L186&lt;&gt;"",L186&lt;Setup!$I$4),"Follow-up overdue",IF(AND(L186&lt;&gt;"",L186&lt;=Setup!$I$4+Setup!$I$9),"Follow-up due soon",IF(AND(J186&lt;&gt;"",Setup!$I$4-J186&gt;Setup!$I$8),"Contact may be stale",""))))))))))</f>
        <v/>
      </c>
    </row>
    <row r="187" ht="22" customHeight="1">
      <c r="A187" s="13" t="n"/>
      <c r="B187" s="14" t="n"/>
      <c r="C187" s="15" t="n"/>
      <c r="D187" s="14" t="n"/>
      <c r="E187" s="14" t="n"/>
      <c r="F187" s="14" t="n"/>
      <c r="G187" s="14" t="n"/>
      <c r="H187" s="15" t="n"/>
      <c r="I187" s="13" t="n"/>
      <c r="J187" s="14" t="n"/>
      <c r="K187" s="15" t="n"/>
      <c r="L187" s="14" t="n"/>
      <c r="M187" s="16">
        <f>IF(OR(D187="",E187=""),"",12*(YEAR(E187)-YEAR(D187))+MONTH(E187)-MONTH(D187)-IF(DAY(E187)&lt;DAY(D187),1,0))</f>
        <v/>
      </c>
      <c r="N187" s="17">
        <f>IF(M187="","",IFERROR(IF(M187&lt;=VLOOKUP(M187,Setup!$A$4:$C$7,3,TRUE),VLOOKUP(M187,Setup!$A$4:$C$7,2,TRUE),"Outside configured ranges"),"Outside configured ranges"))</f>
        <v/>
      </c>
      <c r="O187" s="16">
        <f>IF(OR(B187="",B187&gt;Setup!$I$4),"",Setup!$I$4-B187)</f>
        <v/>
      </c>
      <c r="P187" s="16">
        <f>IF(G187="","",G187-Setup!$I$4)</f>
        <v/>
      </c>
      <c r="Q187" s="27">
        <f>IF(K187="","",IFERROR(VLOOKUP(K187,Setup!$E$4:$F$9,2,FALSE),""))</f>
        <v/>
      </c>
      <c r="R187" s="17">
        <f>IF(A187="","",IF(OR(B187="",C187="",D187="",E187="",F187="",G187="",H187="",I187="",K187=""),"Incomplete",IF(COUNTIF(Setup!$K$4:$K$8,I187)=0,"Invalid status",IF(COUNTIF(Setup!$L$4:$L$8,H187)=0,"Invalid schedule",IF(COUNTIF(Setup!$E$4:$E$9,K187)=0,"Invalid contact outcome",IF(I187&lt;&gt;"Active","Not active",IF(B187&gt;Setup!$I$4,"Future waitlist date",IF(D187&gt;E187,"Invalid age/date",IF(F187&gt;G187,"Invalid window",IF(OR(E187&lt;F187,E187&gt;G187),"Preferred date outside window",IF(G187&lt;Setup!$I$4,"Window expired",IF(OR(M187="",N187="Outside configured ranges"),"Outside age bands","Ready"))))))))))))</f>
        <v/>
      </c>
      <c r="S187" s="27">
        <f>IF(R187&lt;&gt;"Ready","",ROUND(O187*Setup!$I$5+MAX(0,Setup!$I$6-MAX(0,P187))*Setup!$I$7+Q187,1))</f>
        <v/>
      </c>
      <c r="T187" s="16">
        <f>IF(S187="","",1+COUNTIFS($R$2:$R$201,"Ready",$N$2:$N$201,N187,$S$2:$S$201,"&gt;"&amp;S187)+COUNTIFS($R$2:$R$201,"Ready",$N$2:$N$201,N187,$S$2:$S$201,"="&amp;S187,$B$2:$B$201,"&lt;"&amp;B187)+COUNTIFS($R$2:$R$201,"Ready",$N$2:$N$201,N187,$S$2:$S$201,"="&amp;S187,$B$2:$B$201,"="&amp;B187,$A$2:$A$201,"&lt;"&amp;A187))</f>
        <v/>
      </c>
      <c r="U187" s="17">
        <f>IF(A187="","",IF(R187&lt;&gt;"Ready",R187,IF(AND(K187="Not Contacted",J187&lt;&gt;""),"Clear last contact date or update outcome",IF(AND(K187&lt;&gt;"Not Contacted",J187=""),"Add last contact date",IF(AND(J187&lt;&gt;"",J187&gt;Setup!$I$4),"Last contact is after review date",IF(K187="Declined","Align status with declined outcome",IF(AND(L187&lt;&gt;"",L187&gt;G187),"Follow-up is after latest start",IF(AND(L187&lt;&gt;"",L187&lt;Setup!$I$4),"Follow-up overdue",IF(AND(L187&lt;&gt;"",L187&lt;=Setup!$I$4+Setup!$I$9),"Follow-up due soon",IF(AND(J187&lt;&gt;"",Setup!$I$4-J187&gt;Setup!$I$8),"Contact may be stale",""))))))))))</f>
        <v/>
      </c>
    </row>
    <row r="188" ht="22" customHeight="1">
      <c r="A188" s="13" t="n"/>
      <c r="B188" s="14" t="n"/>
      <c r="C188" s="15" t="n"/>
      <c r="D188" s="14" t="n"/>
      <c r="E188" s="14" t="n"/>
      <c r="F188" s="14" t="n"/>
      <c r="G188" s="14" t="n"/>
      <c r="H188" s="15" t="n"/>
      <c r="I188" s="13" t="n"/>
      <c r="J188" s="14" t="n"/>
      <c r="K188" s="15" t="n"/>
      <c r="L188" s="14" t="n"/>
      <c r="M188" s="16">
        <f>IF(OR(D188="",E188=""),"",12*(YEAR(E188)-YEAR(D188))+MONTH(E188)-MONTH(D188)-IF(DAY(E188)&lt;DAY(D188),1,0))</f>
        <v/>
      </c>
      <c r="N188" s="17">
        <f>IF(M188="","",IFERROR(IF(M188&lt;=VLOOKUP(M188,Setup!$A$4:$C$7,3,TRUE),VLOOKUP(M188,Setup!$A$4:$C$7,2,TRUE),"Outside configured ranges"),"Outside configured ranges"))</f>
        <v/>
      </c>
      <c r="O188" s="16">
        <f>IF(OR(B188="",B188&gt;Setup!$I$4),"",Setup!$I$4-B188)</f>
        <v/>
      </c>
      <c r="P188" s="16">
        <f>IF(G188="","",G188-Setup!$I$4)</f>
        <v/>
      </c>
      <c r="Q188" s="27">
        <f>IF(K188="","",IFERROR(VLOOKUP(K188,Setup!$E$4:$F$9,2,FALSE),""))</f>
        <v/>
      </c>
      <c r="R188" s="17">
        <f>IF(A188="","",IF(OR(B188="",C188="",D188="",E188="",F188="",G188="",H188="",I188="",K188=""),"Incomplete",IF(COUNTIF(Setup!$K$4:$K$8,I188)=0,"Invalid status",IF(COUNTIF(Setup!$L$4:$L$8,H188)=0,"Invalid schedule",IF(COUNTIF(Setup!$E$4:$E$9,K188)=0,"Invalid contact outcome",IF(I188&lt;&gt;"Active","Not active",IF(B188&gt;Setup!$I$4,"Future waitlist date",IF(D188&gt;E188,"Invalid age/date",IF(F188&gt;G188,"Invalid window",IF(OR(E188&lt;F188,E188&gt;G188),"Preferred date outside window",IF(G188&lt;Setup!$I$4,"Window expired",IF(OR(M188="",N188="Outside configured ranges"),"Outside age bands","Ready"))))))))))))</f>
        <v/>
      </c>
      <c r="S188" s="27">
        <f>IF(R188&lt;&gt;"Ready","",ROUND(O188*Setup!$I$5+MAX(0,Setup!$I$6-MAX(0,P188))*Setup!$I$7+Q188,1))</f>
        <v/>
      </c>
      <c r="T188" s="16">
        <f>IF(S188="","",1+COUNTIFS($R$2:$R$201,"Ready",$N$2:$N$201,N188,$S$2:$S$201,"&gt;"&amp;S188)+COUNTIFS($R$2:$R$201,"Ready",$N$2:$N$201,N188,$S$2:$S$201,"="&amp;S188,$B$2:$B$201,"&lt;"&amp;B188)+COUNTIFS($R$2:$R$201,"Ready",$N$2:$N$201,N188,$S$2:$S$201,"="&amp;S188,$B$2:$B$201,"="&amp;B188,$A$2:$A$201,"&lt;"&amp;A188))</f>
        <v/>
      </c>
      <c r="U188" s="17">
        <f>IF(A188="","",IF(R188&lt;&gt;"Ready",R188,IF(AND(K188="Not Contacted",J188&lt;&gt;""),"Clear last contact date or update outcome",IF(AND(K188&lt;&gt;"Not Contacted",J188=""),"Add last contact date",IF(AND(J188&lt;&gt;"",J188&gt;Setup!$I$4),"Last contact is after review date",IF(K188="Declined","Align status with declined outcome",IF(AND(L188&lt;&gt;"",L188&gt;G188),"Follow-up is after latest start",IF(AND(L188&lt;&gt;"",L188&lt;Setup!$I$4),"Follow-up overdue",IF(AND(L188&lt;&gt;"",L188&lt;=Setup!$I$4+Setup!$I$9),"Follow-up due soon",IF(AND(J188&lt;&gt;"",Setup!$I$4-J188&gt;Setup!$I$8),"Contact may be stale",""))))))))))</f>
        <v/>
      </c>
    </row>
    <row r="189" ht="22" customHeight="1">
      <c r="A189" s="13" t="n"/>
      <c r="B189" s="14" t="n"/>
      <c r="C189" s="15" t="n"/>
      <c r="D189" s="14" t="n"/>
      <c r="E189" s="14" t="n"/>
      <c r="F189" s="14" t="n"/>
      <c r="G189" s="14" t="n"/>
      <c r="H189" s="15" t="n"/>
      <c r="I189" s="13" t="n"/>
      <c r="J189" s="14" t="n"/>
      <c r="K189" s="15" t="n"/>
      <c r="L189" s="14" t="n"/>
      <c r="M189" s="16">
        <f>IF(OR(D189="",E189=""),"",12*(YEAR(E189)-YEAR(D189))+MONTH(E189)-MONTH(D189)-IF(DAY(E189)&lt;DAY(D189),1,0))</f>
        <v/>
      </c>
      <c r="N189" s="17">
        <f>IF(M189="","",IFERROR(IF(M189&lt;=VLOOKUP(M189,Setup!$A$4:$C$7,3,TRUE),VLOOKUP(M189,Setup!$A$4:$C$7,2,TRUE),"Outside configured ranges"),"Outside configured ranges"))</f>
        <v/>
      </c>
      <c r="O189" s="16">
        <f>IF(OR(B189="",B189&gt;Setup!$I$4),"",Setup!$I$4-B189)</f>
        <v/>
      </c>
      <c r="P189" s="16">
        <f>IF(G189="","",G189-Setup!$I$4)</f>
        <v/>
      </c>
      <c r="Q189" s="27">
        <f>IF(K189="","",IFERROR(VLOOKUP(K189,Setup!$E$4:$F$9,2,FALSE),""))</f>
        <v/>
      </c>
      <c r="R189" s="17">
        <f>IF(A189="","",IF(OR(B189="",C189="",D189="",E189="",F189="",G189="",H189="",I189="",K189=""),"Incomplete",IF(COUNTIF(Setup!$K$4:$K$8,I189)=0,"Invalid status",IF(COUNTIF(Setup!$L$4:$L$8,H189)=0,"Invalid schedule",IF(COUNTIF(Setup!$E$4:$E$9,K189)=0,"Invalid contact outcome",IF(I189&lt;&gt;"Active","Not active",IF(B189&gt;Setup!$I$4,"Future waitlist date",IF(D189&gt;E189,"Invalid age/date",IF(F189&gt;G189,"Invalid window",IF(OR(E189&lt;F189,E189&gt;G189),"Preferred date outside window",IF(G189&lt;Setup!$I$4,"Window expired",IF(OR(M189="",N189="Outside configured ranges"),"Outside age bands","Ready"))))))))))))</f>
        <v/>
      </c>
      <c r="S189" s="27">
        <f>IF(R189&lt;&gt;"Ready","",ROUND(O189*Setup!$I$5+MAX(0,Setup!$I$6-MAX(0,P189))*Setup!$I$7+Q189,1))</f>
        <v/>
      </c>
      <c r="T189" s="16">
        <f>IF(S189="","",1+COUNTIFS($R$2:$R$201,"Ready",$N$2:$N$201,N189,$S$2:$S$201,"&gt;"&amp;S189)+COUNTIFS($R$2:$R$201,"Ready",$N$2:$N$201,N189,$S$2:$S$201,"="&amp;S189,$B$2:$B$201,"&lt;"&amp;B189)+COUNTIFS($R$2:$R$201,"Ready",$N$2:$N$201,N189,$S$2:$S$201,"="&amp;S189,$B$2:$B$201,"="&amp;B189,$A$2:$A$201,"&lt;"&amp;A189))</f>
        <v/>
      </c>
      <c r="U189" s="17">
        <f>IF(A189="","",IF(R189&lt;&gt;"Ready",R189,IF(AND(K189="Not Contacted",J189&lt;&gt;""),"Clear last contact date or update outcome",IF(AND(K189&lt;&gt;"Not Contacted",J189=""),"Add last contact date",IF(AND(J189&lt;&gt;"",J189&gt;Setup!$I$4),"Last contact is after review date",IF(K189="Declined","Align status with declined outcome",IF(AND(L189&lt;&gt;"",L189&gt;G189),"Follow-up is after latest start",IF(AND(L189&lt;&gt;"",L189&lt;Setup!$I$4),"Follow-up overdue",IF(AND(L189&lt;&gt;"",L189&lt;=Setup!$I$4+Setup!$I$9),"Follow-up due soon",IF(AND(J189&lt;&gt;"",Setup!$I$4-J189&gt;Setup!$I$8),"Contact may be stale",""))))))))))</f>
        <v/>
      </c>
    </row>
    <row r="190" ht="22" customHeight="1">
      <c r="A190" s="13" t="n"/>
      <c r="B190" s="14" t="n"/>
      <c r="C190" s="15" t="n"/>
      <c r="D190" s="14" t="n"/>
      <c r="E190" s="14" t="n"/>
      <c r="F190" s="14" t="n"/>
      <c r="G190" s="14" t="n"/>
      <c r="H190" s="15" t="n"/>
      <c r="I190" s="13" t="n"/>
      <c r="J190" s="14" t="n"/>
      <c r="K190" s="15" t="n"/>
      <c r="L190" s="14" t="n"/>
      <c r="M190" s="16">
        <f>IF(OR(D190="",E190=""),"",12*(YEAR(E190)-YEAR(D190))+MONTH(E190)-MONTH(D190)-IF(DAY(E190)&lt;DAY(D190),1,0))</f>
        <v/>
      </c>
      <c r="N190" s="17">
        <f>IF(M190="","",IFERROR(IF(M190&lt;=VLOOKUP(M190,Setup!$A$4:$C$7,3,TRUE),VLOOKUP(M190,Setup!$A$4:$C$7,2,TRUE),"Outside configured ranges"),"Outside configured ranges"))</f>
        <v/>
      </c>
      <c r="O190" s="16">
        <f>IF(OR(B190="",B190&gt;Setup!$I$4),"",Setup!$I$4-B190)</f>
        <v/>
      </c>
      <c r="P190" s="16">
        <f>IF(G190="","",G190-Setup!$I$4)</f>
        <v/>
      </c>
      <c r="Q190" s="27">
        <f>IF(K190="","",IFERROR(VLOOKUP(K190,Setup!$E$4:$F$9,2,FALSE),""))</f>
        <v/>
      </c>
      <c r="R190" s="17">
        <f>IF(A190="","",IF(OR(B190="",C190="",D190="",E190="",F190="",G190="",H190="",I190="",K190=""),"Incomplete",IF(COUNTIF(Setup!$K$4:$K$8,I190)=0,"Invalid status",IF(COUNTIF(Setup!$L$4:$L$8,H190)=0,"Invalid schedule",IF(COUNTIF(Setup!$E$4:$E$9,K190)=0,"Invalid contact outcome",IF(I190&lt;&gt;"Active","Not active",IF(B190&gt;Setup!$I$4,"Future waitlist date",IF(D190&gt;E190,"Invalid age/date",IF(F190&gt;G190,"Invalid window",IF(OR(E190&lt;F190,E190&gt;G190),"Preferred date outside window",IF(G190&lt;Setup!$I$4,"Window expired",IF(OR(M190="",N190="Outside configured ranges"),"Outside age bands","Ready"))))))))))))</f>
        <v/>
      </c>
      <c r="S190" s="27">
        <f>IF(R190&lt;&gt;"Ready","",ROUND(O190*Setup!$I$5+MAX(0,Setup!$I$6-MAX(0,P190))*Setup!$I$7+Q190,1))</f>
        <v/>
      </c>
      <c r="T190" s="16">
        <f>IF(S190="","",1+COUNTIFS($R$2:$R$201,"Ready",$N$2:$N$201,N190,$S$2:$S$201,"&gt;"&amp;S190)+COUNTIFS($R$2:$R$201,"Ready",$N$2:$N$201,N190,$S$2:$S$201,"="&amp;S190,$B$2:$B$201,"&lt;"&amp;B190)+COUNTIFS($R$2:$R$201,"Ready",$N$2:$N$201,N190,$S$2:$S$201,"="&amp;S190,$B$2:$B$201,"="&amp;B190,$A$2:$A$201,"&lt;"&amp;A190))</f>
        <v/>
      </c>
      <c r="U190" s="17">
        <f>IF(A190="","",IF(R190&lt;&gt;"Ready",R190,IF(AND(K190="Not Contacted",J190&lt;&gt;""),"Clear last contact date or update outcome",IF(AND(K190&lt;&gt;"Not Contacted",J190=""),"Add last contact date",IF(AND(J190&lt;&gt;"",J190&gt;Setup!$I$4),"Last contact is after review date",IF(K190="Declined","Align status with declined outcome",IF(AND(L190&lt;&gt;"",L190&gt;G190),"Follow-up is after latest start",IF(AND(L190&lt;&gt;"",L190&lt;Setup!$I$4),"Follow-up overdue",IF(AND(L190&lt;&gt;"",L190&lt;=Setup!$I$4+Setup!$I$9),"Follow-up due soon",IF(AND(J190&lt;&gt;"",Setup!$I$4-J190&gt;Setup!$I$8),"Contact may be stale",""))))))))))</f>
        <v/>
      </c>
    </row>
    <row r="191" ht="22" customHeight="1">
      <c r="A191" s="13" t="n"/>
      <c r="B191" s="14" t="n"/>
      <c r="C191" s="15" t="n"/>
      <c r="D191" s="14" t="n"/>
      <c r="E191" s="14" t="n"/>
      <c r="F191" s="14" t="n"/>
      <c r="G191" s="14" t="n"/>
      <c r="H191" s="15" t="n"/>
      <c r="I191" s="13" t="n"/>
      <c r="J191" s="14" t="n"/>
      <c r="K191" s="15" t="n"/>
      <c r="L191" s="14" t="n"/>
      <c r="M191" s="16">
        <f>IF(OR(D191="",E191=""),"",12*(YEAR(E191)-YEAR(D191))+MONTH(E191)-MONTH(D191)-IF(DAY(E191)&lt;DAY(D191),1,0))</f>
        <v/>
      </c>
      <c r="N191" s="17">
        <f>IF(M191="","",IFERROR(IF(M191&lt;=VLOOKUP(M191,Setup!$A$4:$C$7,3,TRUE),VLOOKUP(M191,Setup!$A$4:$C$7,2,TRUE),"Outside configured ranges"),"Outside configured ranges"))</f>
        <v/>
      </c>
      <c r="O191" s="16">
        <f>IF(OR(B191="",B191&gt;Setup!$I$4),"",Setup!$I$4-B191)</f>
        <v/>
      </c>
      <c r="P191" s="16">
        <f>IF(G191="","",G191-Setup!$I$4)</f>
        <v/>
      </c>
      <c r="Q191" s="27">
        <f>IF(K191="","",IFERROR(VLOOKUP(K191,Setup!$E$4:$F$9,2,FALSE),""))</f>
        <v/>
      </c>
      <c r="R191" s="17">
        <f>IF(A191="","",IF(OR(B191="",C191="",D191="",E191="",F191="",G191="",H191="",I191="",K191=""),"Incomplete",IF(COUNTIF(Setup!$K$4:$K$8,I191)=0,"Invalid status",IF(COUNTIF(Setup!$L$4:$L$8,H191)=0,"Invalid schedule",IF(COUNTIF(Setup!$E$4:$E$9,K191)=0,"Invalid contact outcome",IF(I191&lt;&gt;"Active","Not active",IF(B191&gt;Setup!$I$4,"Future waitlist date",IF(D191&gt;E191,"Invalid age/date",IF(F191&gt;G191,"Invalid window",IF(OR(E191&lt;F191,E191&gt;G191),"Preferred date outside window",IF(G191&lt;Setup!$I$4,"Window expired",IF(OR(M191="",N191="Outside configured ranges"),"Outside age bands","Ready"))))))))))))</f>
        <v/>
      </c>
      <c r="S191" s="27">
        <f>IF(R191&lt;&gt;"Ready","",ROUND(O191*Setup!$I$5+MAX(0,Setup!$I$6-MAX(0,P191))*Setup!$I$7+Q191,1))</f>
        <v/>
      </c>
      <c r="T191" s="16">
        <f>IF(S191="","",1+COUNTIFS($R$2:$R$201,"Ready",$N$2:$N$201,N191,$S$2:$S$201,"&gt;"&amp;S191)+COUNTIFS($R$2:$R$201,"Ready",$N$2:$N$201,N191,$S$2:$S$201,"="&amp;S191,$B$2:$B$201,"&lt;"&amp;B191)+COUNTIFS($R$2:$R$201,"Ready",$N$2:$N$201,N191,$S$2:$S$201,"="&amp;S191,$B$2:$B$201,"="&amp;B191,$A$2:$A$201,"&lt;"&amp;A191))</f>
        <v/>
      </c>
      <c r="U191" s="17">
        <f>IF(A191="","",IF(R191&lt;&gt;"Ready",R191,IF(AND(K191="Not Contacted",J191&lt;&gt;""),"Clear last contact date or update outcome",IF(AND(K191&lt;&gt;"Not Contacted",J191=""),"Add last contact date",IF(AND(J191&lt;&gt;"",J191&gt;Setup!$I$4),"Last contact is after review date",IF(K191="Declined","Align status with declined outcome",IF(AND(L191&lt;&gt;"",L191&gt;G191),"Follow-up is after latest start",IF(AND(L191&lt;&gt;"",L191&lt;Setup!$I$4),"Follow-up overdue",IF(AND(L191&lt;&gt;"",L191&lt;=Setup!$I$4+Setup!$I$9),"Follow-up due soon",IF(AND(J191&lt;&gt;"",Setup!$I$4-J191&gt;Setup!$I$8),"Contact may be stale",""))))))))))</f>
        <v/>
      </c>
    </row>
    <row r="192" ht="22" customHeight="1">
      <c r="A192" s="13" t="n"/>
      <c r="B192" s="14" t="n"/>
      <c r="C192" s="15" t="n"/>
      <c r="D192" s="14" t="n"/>
      <c r="E192" s="14" t="n"/>
      <c r="F192" s="14" t="n"/>
      <c r="G192" s="14" t="n"/>
      <c r="H192" s="15" t="n"/>
      <c r="I192" s="13" t="n"/>
      <c r="J192" s="14" t="n"/>
      <c r="K192" s="15" t="n"/>
      <c r="L192" s="14" t="n"/>
      <c r="M192" s="16">
        <f>IF(OR(D192="",E192=""),"",12*(YEAR(E192)-YEAR(D192))+MONTH(E192)-MONTH(D192)-IF(DAY(E192)&lt;DAY(D192),1,0))</f>
        <v/>
      </c>
      <c r="N192" s="17">
        <f>IF(M192="","",IFERROR(IF(M192&lt;=VLOOKUP(M192,Setup!$A$4:$C$7,3,TRUE),VLOOKUP(M192,Setup!$A$4:$C$7,2,TRUE),"Outside configured ranges"),"Outside configured ranges"))</f>
        <v/>
      </c>
      <c r="O192" s="16">
        <f>IF(OR(B192="",B192&gt;Setup!$I$4),"",Setup!$I$4-B192)</f>
        <v/>
      </c>
      <c r="P192" s="16">
        <f>IF(G192="","",G192-Setup!$I$4)</f>
        <v/>
      </c>
      <c r="Q192" s="27">
        <f>IF(K192="","",IFERROR(VLOOKUP(K192,Setup!$E$4:$F$9,2,FALSE),""))</f>
        <v/>
      </c>
      <c r="R192" s="17">
        <f>IF(A192="","",IF(OR(B192="",C192="",D192="",E192="",F192="",G192="",H192="",I192="",K192=""),"Incomplete",IF(COUNTIF(Setup!$K$4:$K$8,I192)=0,"Invalid status",IF(COUNTIF(Setup!$L$4:$L$8,H192)=0,"Invalid schedule",IF(COUNTIF(Setup!$E$4:$E$9,K192)=0,"Invalid contact outcome",IF(I192&lt;&gt;"Active","Not active",IF(B192&gt;Setup!$I$4,"Future waitlist date",IF(D192&gt;E192,"Invalid age/date",IF(F192&gt;G192,"Invalid window",IF(OR(E192&lt;F192,E192&gt;G192),"Preferred date outside window",IF(G192&lt;Setup!$I$4,"Window expired",IF(OR(M192="",N192="Outside configured ranges"),"Outside age bands","Ready"))))))))))))</f>
        <v/>
      </c>
      <c r="S192" s="27">
        <f>IF(R192&lt;&gt;"Ready","",ROUND(O192*Setup!$I$5+MAX(0,Setup!$I$6-MAX(0,P192))*Setup!$I$7+Q192,1))</f>
        <v/>
      </c>
      <c r="T192" s="16">
        <f>IF(S192="","",1+COUNTIFS($R$2:$R$201,"Ready",$N$2:$N$201,N192,$S$2:$S$201,"&gt;"&amp;S192)+COUNTIFS($R$2:$R$201,"Ready",$N$2:$N$201,N192,$S$2:$S$201,"="&amp;S192,$B$2:$B$201,"&lt;"&amp;B192)+COUNTIFS($R$2:$R$201,"Ready",$N$2:$N$201,N192,$S$2:$S$201,"="&amp;S192,$B$2:$B$201,"="&amp;B192,$A$2:$A$201,"&lt;"&amp;A192))</f>
        <v/>
      </c>
      <c r="U192" s="17">
        <f>IF(A192="","",IF(R192&lt;&gt;"Ready",R192,IF(AND(K192="Not Contacted",J192&lt;&gt;""),"Clear last contact date or update outcome",IF(AND(K192&lt;&gt;"Not Contacted",J192=""),"Add last contact date",IF(AND(J192&lt;&gt;"",J192&gt;Setup!$I$4),"Last contact is after review date",IF(K192="Declined","Align status with declined outcome",IF(AND(L192&lt;&gt;"",L192&gt;G192),"Follow-up is after latest start",IF(AND(L192&lt;&gt;"",L192&lt;Setup!$I$4),"Follow-up overdue",IF(AND(L192&lt;&gt;"",L192&lt;=Setup!$I$4+Setup!$I$9),"Follow-up due soon",IF(AND(J192&lt;&gt;"",Setup!$I$4-J192&gt;Setup!$I$8),"Contact may be stale",""))))))))))</f>
        <v/>
      </c>
    </row>
    <row r="193" ht="22" customHeight="1">
      <c r="A193" s="13" t="n"/>
      <c r="B193" s="14" t="n"/>
      <c r="C193" s="15" t="n"/>
      <c r="D193" s="14" t="n"/>
      <c r="E193" s="14" t="n"/>
      <c r="F193" s="14" t="n"/>
      <c r="G193" s="14" t="n"/>
      <c r="H193" s="15" t="n"/>
      <c r="I193" s="13" t="n"/>
      <c r="J193" s="14" t="n"/>
      <c r="K193" s="15" t="n"/>
      <c r="L193" s="14" t="n"/>
      <c r="M193" s="16">
        <f>IF(OR(D193="",E193=""),"",12*(YEAR(E193)-YEAR(D193))+MONTH(E193)-MONTH(D193)-IF(DAY(E193)&lt;DAY(D193),1,0))</f>
        <v/>
      </c>
      <c r="N193" s="17">
        <f>IF(M193="","",IFERROR(IF(M193&lt;=VLOOKUP(M193,Setup!$A$4:$C$7,3,TRUE),VLOOKUP(M193,Setup!$A$4:$C$7,2,TRUE),"Outside configured ranges"),"Outside configured ranges"))</f>
        <v/>
      </c>
      <c r="O193" s="16">
        <f>IF(OR(B193="",B193&gt;Setup!$I$4),"",Setup!$I$4-B193)</f>
        <v/>
      </c>
      <c r="P193" s="16">
        <f>IF(G193="","",G193-Setup!$I$4)</f>
        <v/>
      </c>
      <c r="Q193" s="27">
        <f>IF(K193="","",IFERROR(VLOOKUP(K193,Setup!$E$4:$F$9,2,FALSE),""))</f>
        <v/>
      </c>
      <c r="R193" s="17">
        <f>IF(A193="","",IF(OR(B193="",C193="",D193="",E193="",F193="",G193="",H193="",I193="",K193=""),"Incomplete",IF(COUNTIF(Setup!$K$4:$K$8,I193)=0,"Invalid status",IF(COUNTIF(Setup!$L$4:$L$8,H193)=0,"Invalid schedule",IF(COUNTIF(Setup!$E$4:$E$9,K193)=0,"Invalid contact outcome",IF(I193&lt;&gt;"Active","Not active",IF(B193&gt;Setup!$I$4,"Future waitlist date",IF(D193&gt;E193,"Invalid age/date",IF(F193&gt;G193,"Invalid window",IF(OR(E193&lt;F193,E193&gt;G193),"Preferred date outside window",IF(G193&lt;Setup!$I$4,"Window expired",IF(OR(M193="",N193="Outside configured ranges"),"Outside age bands","Ready"))))))))))))</f>
        <v/>
      </c>
      <c r="S193" s="27">
        <f>IF(R193&lt;&gt;"Ready","",ROUND(O193*Setup!$I$5+MAX(0,Setup!$I$6-MAX(0,P193))*Setup!$I$7+Q193,1))</f>
        <v/>
      </c>
      <c r="T193" s="16">
        <f>IF(S193="","",1+COUNTIFS($R$2:$R$201,"Ready",$N$2:$N$201,N193,$S$2:$S$201,"&gt;"&amp;S193)+COUNTIFS($R$2:$R$201,"Ready",$N$2:$N$201,N193,$S$2:$S$201,"="&amp;S193,$B$2:$B$201,"&lt;"&amp;B193)+COUNTIFS($R$2:$R$201,"Ready",$N$2:$N$201,N193,$S$2:$S$201,"="&amp;S193,$B$2:$B$201,"="&amp;B193,$A$2:$A$201,"&lt;"&amp;A193))</f>
        <v/>
      </c>
      <c r="U193" s="17">
        <f>IF(A193="","",IF(R193&lt;&gt;"Ready",R193,IF(AND(K193="Not Contacted",J193&lt;&gt;""),"Clear last contact date or update outcome",IF(AND(K193&lt;&gt;"Not Contacted",J193=""),"Add last contact date",IF(AND(J193&lt;&gt;"",J193&gt;Setup!$I$4),"Last contact is after review date",IF(K193="Declined","Align status with declined outcome",IF(AND(L193&lt;&gt;"",L193&gt;G193),"Follow-up is after latest start",IF(AND(L193&lt;&gt;"",L193&lt;Setup!$I$4),"Follow-up overdue",IF(AND(L193&lt;&gt;"",L193&lt;=Setup!$I$4+Setup!$I$9),"Follow-up due soon",IF(AND(J193&lt;&gt;"",Setup!$I$4-J193&gt;Setup!$I$8),"Contact may be stale",""))))))))))</f>
        <v/>
      </c>
    </row>
    <row r="194" ht="22" customHeight="1">
      <c r="A194" s="13" t="n"/>
      <c r="B194" s="14" t="n"/>
      <c r="C194" s="15" t="n"/>
      <c r="D194" s="14" t="n"/>
      <c r="E194" s="14" t="n"/>
      <c r="F194" s="14" t="n"/>
      <c r="G194" s="14" t="n"/>
      <c r="H194" s="15" t="n"/>
      <c r="I194" s="13" t="n"/>
      <c r="J194" s="14" t="n"/>
      <c r="K194" s="15" t="n"/>
      <c r="L194" s="14" t="n"/>
      <c r="M194" s="16">
        <f>IF(OR(D194="",E194=""),"",12*(YEAR(E194)-YEAR(D194))+MONTH(E194)-MONTH(D194)-IF(DAY(E194)&lt;DAY(D194),1,0))</f>
        <v/>
      </c>
      <c r="N194" s="17">
        <f>IF(M194="","",IFERROR(IF(M194&lt;=VLOOKUP(M194,Setup!$A$4:$C$7,3,TRUE),VLOOKUP(M194,Setup!$A$4:$C$7,2,TRUE),"Outside configured ranges"),"Outside configured ranges"))</f>
        <v/>
      </c>
      <c r="O194" s="16">
        <f>IF(OR(B194="",B194&gt;Setup!$I$4),"",Setup!$I$4-B194)</f>
        <v/>
      </c>
      <c r="P194" s="16">
        <f>IF(G194="","",G194-Setup!$I$4)</f>
        <v/>
      </c>
      <c r="Q194" s="27">
        <f>IF(K194="","",IFERROR(VLOOKUP(K194,Setup!$E$4:$F$9,2,FALSE),""))</f>
        <v/>
      </c>
      <c r="R194" s="17">
        <f>IF(A194="","",IF(OR(B194="",C194="",D194="",E194="",F194="",G194="",H194="",I194="",K194=""),"Incomplete",IF(COUNTIF(Setup!$K$4:$K$8,I194)=0,"Invalid status",IF(COUNTIF(Setup!$L$4:$L$8,H194)=0,"Invalid schedule",IF(COUNTIF(Setup!$E$4:$E$9,K194)=0,"Invalid contact outcome",IF(I194&lt;&gt;"Active","Not active",IF(B194&gt;Setup!$I$4,"Future waitlist date",IF(D194&gt;E194,"Invalid age/date",IF(F194&gt;G194,"Invalid window",IF(OR(E194&lt;F194,E194&gt;G194),"Preferred date outside window",IF(G194&lt;Setup!$I$4,"Window expired",IF(OR(M194="",N194="Outside configured ranges"),"Outside age bands","Ready"))))))))))))</f>
        <v/>
      </c>
      <c r="S194" s="27">
        <f>IF(R194&lt;&gt;"Ready","",ROUND(O194*Setup!$I$5+MAX(0,Setup!$I$6-MAX(0,P194))*Setup!$I$7+Q194,1))</f>
        <v/>
      </c>
      <c r="T194" s="16">
        <f>IF(S194="","",1+COUNTIFS($R$2:$R$201,"Ready",$N$2:$N$201,N194,$S$2:$S$201,"&gt;"&amp;S194)+COUNTIFS($R$2:$R$201,"Ready",$N$2:$N$201,N194,$S$2:$S$201,"="&amp;S194,$B$2:$B$201,"&lt;"&amp;B194)+COUNTIFS($R$2:$R$201,"Ready",$N$2:$N$201,N194,$S$2:$S$201,"="&amp;S194,$B$2:$B$201,"="&amp;B194,$A$2:$A$201,"&lt;"&amp;A194))</f>
        <v/>
      </c>
      <c r="U194" s="17">
        <f>IF(A194="","",IF(R194&lt;&gt;"Ready",R194,IF(AND(K194="Not Contacted",J194&lt;&gt;""),"Clear last contact date or update outcome",IF(AND(K194&lt;&gt;"Not Contacted",J194=""),"Add last contact date",IF(AND(J194&lt;&gt;"",J194&gt;Setup!$I$4),"Last contact is after review date",IF(K194="Declined","Align status with declined outcome",IF(AND(L194&lt;&gt;"",L194&gt;G194),"Follow-up is after latest start",IF(AND(L194&lt;&gt;"",L194&lt;Setup!$I$4),"Follow-up overdue",IF(AND(L194&lt;&gt;"",L194&lt;=Setup!$I$4+Setup!$I$9),"Follow-up due soon",IF(AND(J194&lt;&gt;"",Setup!$I$4-J194&gt;Setup!$I$8),"Contact may be stale",""))))))))))</f>
        <v/>
      </c>
    </row>
    <row r="195" ht="22" customHeight="1">
      <c r="A195" s="13" t="n"/>
      <c r="B195" s="14" t="n"/>
      <c r="C195" s="15" t="n"/>
      <c r="D195" s="14" t="n"/>
      <c r="E195" s="14" t="n"/>
      <c r="F195" s="14" t="n"/>
      <c r="G195" s="14" t="n"/>
      <c r="H195" s="15" t="n"/>
      <c r="I195" s="13" t="n"/>
      <c r="J195" s="14" t="n"/>
      <c r="K195" s="15" t="n"/>
      <c r="L195" s="14" t="n"/>
      <c r="M195" s="16">
        <f>IF(OR(D195="",E195=""),"",12*(YEAR(E195)-YEAR(D195))+MONTH(E195)-MONTH(D195)-IF(DAY(E195)&lt;DAY(D195),1,0))</f>
        <v/>
      </c>
      <c r="N195" s="17">
        <f>IF(M195="","",IFERROR(IF(M195&lt;=VLOOKUP(M195,Setup!$A$4:$C$7,3,TRUE),VLOOKUP(M195,Setup!$A$4:$C$7,2,TRUE),"Outside configured ranges"),"Outside configured ranges"))</f>
        <v/>
      </c>
      <c r="O195" s="16">
        <f>IF(OR(B195="",B195&gt;Setup!$I$4),"",Setup!$I$4-B195)</f>
        <v/>
      </c>
      <c r="P195" s="16">
        <f>IF(G195="","",G195-Setup!$I$4)</f>
        <v/>
      </c>
      <c r="Q195" s="27">
        <f>IF(K195="","",IFERROR(VLOOKUP(K195,Setup!$E$4:$F$9,2,FALSE),""))</f>
        <v/>
      </c>
      <c r="R195" s="17">
        <f>IF(A195="","",IF(OR(B195="",C195="",D195="",E195="",F195="",G195="",H195="",I195="",K195=""),"Incomplete",IF(COUNTIF(Setup!$K$4:$K$8,I195)=0,"Invalid status",IF(COUNTIF(Setup!$L$4:$L$8,H195)=0,"Invalid schedule",IF(COUNTIF(Setup!$E$4:$E$9,K195)=0,"Invalid contact outcome",IF(I195&lt;&gt;"Active","Not active",IF(B195&gt;Setup!$I$4,"Future waitlist date",IF(D195&gt;E195,"Invalid age/date",IF(F195&gt;G195,"Invalid window",IF(OR(E195&lt;F195,E195&gt;G195),"Preferred date outside window",IF(G195&lt;Setup!$I$4,"Window expired",IF(OR(M195="",N195="Outside configured ranges"),"Outside age bands","Ready"))))))))))))</f>
        <v/>
      </c>
      <c r="S195" s="27">
        <f>IF(R195&lt;&gt;"Ready","",ROUND(O195*Setup!$I$5+MAX(0,Setup!$I$6-MAX(0,P195))*Setup!$I$7+Q195,1))</f>
        <v/>
      </c>
      <c r="T195" s="16">
        <f>IF(S195="","",1+COUNTIFS($R$2:$R$201,"Ready",$N$2:$N$201,N195,$S$2:$S$201,"&gt;"&amp;S195)+COUNTIFS($R$2:$R$201,"Ready",$N$2:$N$201,N195,$S$2:$S$201,"="&amp;S195,$B$2:$B$201,"&lt;"&amp;B195)+COUNTIFS($R$2:$R$201,"Ready",$N$2:$N$201,N195,$S$2:$S$201,"="&amp;S195,$B$2:$B$201,"="&amp;B195,$A$2:$A$201,"&lt;"&amp;A195))</f>
        <v/>
      </c>
      <c r="U195" s="17">
        <f>IF(A195="","",IF(R195&lt;&gt;"Ready",R195,IF(AND(K195="Not Contacted",J195&lt;&gt;""),"Clear last contact date or update outcome",IF(AND(K195&lt;&gt;"Not Contacted",J195=""),"Add last contact date",IF(AND(J195&lt;&gt;"",J195&gt;Setup!$I$4),"Last contact is after review date",IF(K195="Declined","Align status with declined outcome",IF(AND(L195&lt;&gt;"",L195&gt;G195),"Follow-up is after latest start",IF(AND(L195&lt;&gt;"",L195&lt;Setup!$I$4),"Follow-up overdue",IF(AND(L195&lt;&gt;"",L195&lt;=Setup!$I$4+Setup!$I$9),"Follow-up due soon",IF(AND(J195&lt;&gt;"",Setup!$I$4-J195&gt;Setup!$I$8),"Contact may be stale",""))))))))))</f>
        <v/>
      </c>
    </row>
    <row r="196" ht="22" customHeight="1">
      <c r="A196" s="13" t="n"/>
      <c r="B196" s="14" t="n"/>
      <c r="C196" s="15" t="n"/>
      <c r="D196" s="14" t="n"/>
      <c r="E196" s="14" t="n"/>
      <c r="F196" s="14" t="n"/>
      <c r="G196" s="14" t="n"/>
      <c r="H196" s="15" t="n"/>
      <c r="I196" s="13" t="n"/>
      <c r="J196" s="14" t="n"/>
      <c r="K196" s="15" t="n"/>
      <c r="L196" s="14" t="n"/>
      <c r="M196" s="16">
        <f>IF(OR(D196="",E196=""),"",12*(YEAR(E196)-YEAR(D196))+MONTH(E196)-MONTH(D196)-IF(DAY(E196)&lt;DAY(D196),1,0))</f>
        <v/>
      </c>
      <c r="N196" s="17">
        <f>IF(M196="","",IFERROR(IF(M196&lt;=VLOOKUP(M196,Setup!$A$4:$C$7,3,TRUE),VLOOKUP(M196,Setup!$A$4:$C$7,2,TRUE),"Outside configured ranges"),"Outside configured ranges"))</f>
        <v/>
      </c>
      <c r="O196" s="16">
        <f>IF(OR(B196="",B196&gt;Setup!$I$4),"",Setup!$I$4-B196)</f>
        <v/>
      </c>
      <c r="P196" s="16">
        <f>IF(G196="","",G196-Setup!$I$4)</f>
        <v/>
      </c>
      <c r="Q196" s="27">
        <f>IF(K196="","",IFERROR(VLOOKUP(K196,Setup!$E$4:$F$9,2,FALSE),""))</f>
        <v/>
      </c>
      <c r="R196" s="17">
        <f>IF(A196="","",IF(OR(B196="",C196="",D196="",E196="",F196="",G196="",H196="",I196="",K196=""),"Incomplete",IF(COUNTIF(Setup!$K$4:$K$8,I196)=0,"Invalid status",IF(COUNTIF(Setup!$L$4:$L$8,H196)=0,"Invalid schedule",IF(COUNTIF(Setup!$E$4:$E$9,K196)=0,"Invalid contact outcome",IF(I196&lt;&gt;"Active","Not active",IF(B196&gt;Setup!$I$4,"Future waitlist date",IF(D196&gt;E196,"Invalid age/date",IF(F196&gt;G196,"Invalid window",IF(OR(E196&lt;F196,E196&gt;G196),"Preferred date outside window",IF(G196&lt;Setup!$I$4,"Window expired",IF(OR(M196="",N196="Outside configured ranges"),"Outside age bands","Ready"))))))))))))</f>
        <v/>
      </c>
      <c r="S196" s="27">
        <f>IF(R196&lt;&gt;"Ready","",ROUND(O196*Setup!$I$5+MAX(0,Setup!$I$6-MAX(0,P196))*Setup!$I$7+Q196,1))</f>
        <v/>
      </c>
      <c r="T196" s="16">
        <f>IF(S196="","",1+COUNTIFS($R$2:$R$201,"Ready",$N$2:$N$201,N196,$S$2:$S$201,"&gt;"&amp;S196)+COUNTIFS($R$2:$R$201,"Ready",$N$2:$N$201,N196,$S$2:$S$201,"="&amp;S196,$B$2:$B$201,"&lt;"&amp;B196)+COUNTIFS($R$2:$R$201,"Ready",$N$2:$N$201,N196,$S$2:$S$201,"="&amp;S196,$B$2:$B$201,"="&amp;B196,$A$2:$A$201,"&lt;"&amp;A196))</f>
        <v/>
      </c>
      <c r="U196" s="17">
        <f>IF(A196="","",IF(R196&lt;&gt;"Ready",R196,IF(AND(K196="Not Contacted",J196&lt;&gt;""),"Clear last contact date or update outcome",IF(AND(K196&lt;&gt;"Not Contacted",J196=""),"Add last contact date",IF(AND(J196&lt;&gt;"",J196&gt;Setup!$I$4),"Last contact is after review date",IF(K196="Declined","Align status with declined outcome",IF(AND(L196&lt;&gt;"",L196&gt;G196),"Follow-up is after latest start",IF(AND(L196&lt;&gt;"",L196&lt;Setup!$I$4),"Follow-up overdue",IF(AND(L196&lt;&gt;"",L196&lt;=Setup!$I$4+Setup!$I$9),"Follow-up due soon",IF(AND(J196&lt;&gt;"",Setup!$I$4-J196&gt;Setup!$I$8),"Contact may be stale",""))))))))))</f>
        <v/>
      </c>
    </row>
    <row r="197" ht="22" customHeight="1">
      <c r="A197" s="13" t="n"/>
      <c r="B197" s="14" t="n"/>
      <c r="C197" s="15" t="n"/>
      <c r="D197" s="14" t="n"/>
      <c r="E197" s="14" t="n"/>
      <c r="F197" s="14" t="n"/>
      <c r="G197" s="14" t="n"/>
      <c r="H197" s="15" t="n"/>
      <c r="I197" s="13" t="n"/>
      <c r="J197" s="14" t="n"/>
      <c r="K197" s="15" t="n"/>
      <c r="L197" s="14" t="n"/>
      <c r="M197" s="16">
        <f>IF(OR(D197="",E197=""),"",12*(YEAR(E197)-YEAR(D197))+MONTH(E197)-MONTH(D197)-IF(DAY(E197)&lt;DAY(D197),1,0))</f>
        <v/>
      </c>
      <c r="N197" s="17">
        <f>IF(M197="","",IFERROR(IF(M197&lt;=VLOOKUP(M197,Setup!$A$4:$C$7,3,TRUE),VLOOKUP(M197,Setup!$A$4:$C$7,2,TRUE),"Outside configured ranges"),"Outside configured ranges"))</f>
        <v/>
      </c>
      <c r="O197" s="16">
        <f>IF(OR(B197="",B197&gt;Setup!$I$4),"",Setup!$I$4-B197)</f>
        <v/>
      </c>
      <c r="P197" s="16">
        <f>IF(G197="","",G197-Setup!$I$4)</f>
        <v/>
      </c>
      <c r="Q197" s="27">
        <f>IF(K197="","",IFERROR(VLOOKUP(K197,Setup!$E$4:$F$9,2,FALSE),""))</f>
        <v/>
      </c>
      <c r="R197" s="17">
        <f>IF(A197="","",IF(OR(B197="",C197="",D197="",E197="",F197="",G197="",H197="",I197="",K197=""),"Incomplete",IF(COUNTIF(Setup!$K$4:$K$8,I197)=0,"Invalid status",IF(COUNTIF(Setup!$L$4:$L$8,H197)=0,"Invalid schedule",IF(COUNTIF(Setup!$E$4:$E$9,K197)=0,"Invalid contact outcome",IF(I197&lt;&gt;"Active","Not active",IF(B197&gt;Setup!$I$4,"Future waitlist date",IF(D197&gt;E197,"Invalid age/date",IF(F197&gt;G197,"Invalid window",IF(OR(E197&lt;F197,E197&gt;G197),"Preferred date outside window",IF(G197&lt;Setup!$I$4,"Window expired",IF(OR(M197="",N197="Outside configured ranges"),"Outside age bands","Ready"))))))))))))</f>
        <v/>
      </c>
      <c r="S197" s="27">
        <f>IF(R197&lt;&gt;"Ready","",ROUND(O197*Setup!$I$5+MAX(0,Setup!$I$6-MAX(0,P197))*Setup!$I$7+Q197,1))</f>
        <v/>
      </c>
      <c r="T197" s="16">
        <f>IF(S197="","",1+COUNTIFS($R$2:$R$201,"Ready",$N$2:$N$201,N197,$S$2:$S$201,"&gt;"&amp;S197)+COUNTIFS($R$2:$R$201,"Ready",$N$2:$N$201,N197,$S$2:$S$201,"="&amp;S197,$B$2:$B$201,"&lt;"&amp;B197)+COUNTIFS($R$2:$R$201,"Ready",$N$2:$N$201,N197,$S$2:$S$201,"="&amp;S197,$B$2:$B$201,"="&amp;B197,$A$2:$A$201,"&lt;"&amp;A197))</f>
        <v/>
      </c>
      <c r="U197" s="17">
        <f>IF(A197="","",IF(R197&lt;&gt;"Ready",R197,IF(AND(K197="Not Contacted",J197&lt;&gt;""),"Clear last contact date or update outcome",IF(AND(K197&lt;&gt;"Not Contacted",J197=""),"Add last contact date",IF(AND(J197&lt;&gt;"",J197&gt;Setup!$I$4),"Last contact is after review date",IF(K197="Declined","Align status with declined outcome",IF(AND(L197&lt;&gt;"",L197&gt;G197),"Follow-up is after latest start",IF(AND(L197&lt;&gt;"",L197&lt;Setup!$I$4),"Follow-up overdue",IF(AND(L197&lt;&gt;"",L197&lt;=Setup!$I$4+Setup!$I$9),"Follow-up due soon",IF(AND(J197&lt;&gt;"",Setup!$I$4-J197&gt;Setup!$I$8),"Contact may be stale",""))))))))))</f>
        <v/>
      </c>
    </row>
    <row r="198" ht="22" customHeight="1">
      <c r="A198" s="13" t="n"/>
      <c r="B198" s="14" t="n"/>
      <c r="C198" s="15" t="n"/>
      <c r="D198" s="14" t="n"/>
      <c r="E198" s="14" t="n"/>
      <c r="F198" s="14" t="n"/>
      <c r="G198" s="14" t="n"/>
      <c r="H198" s="15" t="n"/>
      <c r="I198" s="13" t="n"/>
      <c r="J198" s="14" t="n"/>
      <c r="K198" s="15" t="n"/>
      <c r="L198" s="14" t="n"/>
      <c r="M198" s="16">
        <f>IF(OR(D198="",E198=""),"",12*(YEAR(E198)-YEAR(D198))+MONTH(E198)-MONTH(D198)-IF(DAY(E198)&lt;DAY(D198),1,0))</f>
        <v/>
      </c>
      <c r="N198" s="17">
        <f>IF(M198="","",IFERROR(IF(M198&lt;=VLOOKUP(M198,Setup!$A$4:$C$7,3,TRUE),VLOOKUP(M198,Setup!$A$4:$C$7,2,TRUE),"Outside configured ranges"),"Outside configured ranges"))</f>
        <v/>
      </c>
      <c r="O198" s="16">
        <f>IF(OR(B198="",B198&gt;Setup!$I$4),"",Setup!$I$4-B198)</f>
        <v/>
      </c>
      <c r="P198" s="16">
        <f>IF(G198="","",G198-Setup!$I$4)</f>
        <v/>
      </c>
      <c r="Q198" s="27">
        <f>IF(K198="","",IFERROR(VLOOKUP(K198,Setup!$E$4:$F$9,2,FALSE),""))</f>
        <v/>
      </c>
      <c r="R198" s="17">
        <f>IF(A198="","",IF(OR(B198="",C198="",D198="",E198="",F198="",G198="",H198="",I198="",K198=""),"Incomplete",IF(COUNTIF(Setup!$K$4:$K$8,I198)=0,"Invalid status",IF(COUNTIF(Setup!$L$4:$L$8,H198)=0,"Invalid schedule",IF(COUNTIF(Setup!$E$4:$E$9,K198)=0,"Invalid contact outcome",IF(I198&lt;&gt;"Active","Not active",IF(B198&gt;Setup!$I$4,"Future waitlist date",IF(D198&gt;E198,"Invalid age/date",IF(F198&gt;G198,"Invalid window",IF(OR(E198&lt;F198,E198&gt;G198),"Preferred date outside window",IF(G198&lt;Setup!$I$4,"Window expired",IF(OR(M198="",N198="Outside configured ranges"),"Outside age bands","Ready"))))))))))))</f>
        <v/>
      </c>
      <c r="S198" s="27">
        <f>IF(R198&lt;&gt;"Ready","",ROUND(O198*Setup!$I$5+MAX(0,Setup!$I$6-MAX(0,P198))*Setup!$I$7+Q198,1))</f>
        <v/>
      </c>
      <c r="T198" s="16">
        <f>IF(S198="","",1+COUNTIFS($R$2:$R$201,"Ready",$N$2:$N$201,N198,$S$2:$S$201,"&gt;"&amp;S198)+COUNTIFS($R$2:$R$201,"Ready",$N$2:$N$201,N198,$S$2:$S$201,"="&amp;S198,$B$2:$B$201,"&lt;"&amp;B198)+COUNTIFS($R$2:$R$201,"Ready",$N$2:$N$201,N198,$S$2:$S$201,"="&amp;S198,$B$2:$B$201,"="&amp;B198,$A$2:$A$201,"&lt;"&amp;A198))</f>
        <v/>
      </c>
      <c r="U198" s="17">
        <f>IF(A198="","",IF(R198&lt;&gt;"Ready",R198,IF(AND(K198="Not Contacted",J198&lt;&gt;""),"Clear last contact date or update outcome",IF(AND(K198&lt;&gt;"Not Contacted",J198=""),"Add last contact date",IF(AND(J198&lt;&gt;"",J198&gt;Setup!$I$4),"Last contact is after review date",IF(K198="Declined","Align status with declined outcome",IF(AND(L198&lt;&gt;"",L198&gt;G198),"Follow-up is after latest start",IF(AND(L198&lt;&gt;"",L198&lt;Setup!$I$4),"Follow-up overdue",IF(AND(L198&lt;&gt;"",L198&lt;=Setup!$I$4+Setup!$I$9),"Follow-up due soon",IF(AND(J198&lt;&gt;"",Setup!$I$4-J198&gt;Setup!$I$8),"Contact may be stale",""))))))))))</f>
        <v/>
      </c>
    </row>
    <row r="199" ht="22" customHeight="1">
      <c r="A199" s="13" t="n"/>
      <c r="B199" s="14" t="n"/>
      <c r="C199" s="15" t="n"/>
      <c r="D199" s="14" t="n"/>
      <c r="E199" s="14" t="n"/>
      <c r="F199" s="14" t="n"/>
      <c r="G199" s="14" t="n"/>
      <c r="H199" s="15" t="n"/>
      <c r="I199" s="13" t="n"/>
      <c r="J199" s="14" t="n"/>
      <c r="K199" s="15" t="n"/>
      <c r="L199" s="14" t="n"/>
      <c r="M199" s="16">
        <f>IF(OR(D199="",E199=""),"",12*(YEAR(E199)-YEAR(D199))+MONTH(E199)-MONTH(D199)-IF(DAY(E199)&lt;DAY(D199),1,0))</f>
        <v/>
      </c>
      <c r="N199" s="17">
        <f>IF(M199="","",IFERROR(IF(M199&lt;=VLOOKUP(M199,Setup!$A$4:$C$7,3,TRUE),VLOOKUP(M199,Setup!$A$4:$C$7,2,TRUE),"Outside configured ranges"),"Outside configured ranges"))</f>
        <v/>
      </c>
      <c r="O199" s="16">
        <f>IF(OR(B199="",B199&gt;Setup!$I$4),"",Setup!$I$4-B199)</f>
        <v/>
      </c>
      <c r="P199" s="16">
        <f>IF(G199="","",G199-Setup!$I$4)</f>
        <v/>
      </c>
      <c r="Q199" s="27">
        <f>IF(K199="","",IFERROR(VLOOKUP(K199,Setup!$E$4:$F$9,2,FALSE),""))</f>
        <v/>
      </c>
      <c r="R199" s="17">
        <f>IF(A199="","",IF(OR(B199="",C199="",D199="",E199="",F199="",G199="",H199="",I199="",K199=""),"Incomplete",IF(COUNTIF(Setup!$K$4:$K$8,I199)=0,"Invalid status",IF(COUNTIF(Setup!$L$4:$L$8,H199)=0,"Invalid schedule",IF(COUNTIF(Setup!$E$4:$E$9,K199)=0,"Invalid contact outcome",IF(I199&lt;&gt;"Active","Not active",IF(B199&gt;Setup!$I$4,"Future waitlist date",IF(D199&gt;E199,"Invalid age/date",IF(F199&gt;G199,"Invalid window",IF(OR(E199&lt;F199,E199&gt;G199),"Preferred date outside window",IF(G199&lt;Setup!$I$4,"Window expired",IF(OR(M199="",N199="Outside configured ranges"),"Outside age bands","Ready"))))))))))))</f>
        <v/>
      </c>
      <c r="S199" s="27">
        <f>IF(R199&lt;&gt;"Ready","",ROUND(O199*Setup!$I$5+MAX(0,Setup!$I$6-MAX(0,P199))*Setup!$I$7+Q199,1))</f>
        <v/>
      </c>
      <c r="T199" s="16">
        <f>IF(S199="","",1+COUNTIFS($R$2:$R$201,"Ready",$N$2:$N$201,N199,$S$2:$S$201,"&gt;"&amp;S199)+COUNTIFS($R$2:$R$201,"Ready",$N$2:$N$201,N199,$S$2:$S$201,"="&amp;S199,$B$2:$B$201,"&lt;"&amp;B199)+COUNTIFS($R$2:$R$201,"Ready",$N$2:$N$201,N199,$S$2:$S$201,"="&amp;S199,$B$2:$B$201,"="&amp;B199,$A$2:$A$201,"&lt;"&amp;A199))</f>
        <v/>
      </c>
      <c r="U199" s="17">
        <f>IF(A199="","",IF(R199&lt;&gt;"Ready",R199,IF(AND(K199="Not Contacted",J199&lt;&gt;""),"Clear last contact date or update outcome",IF(AND(K199&lt;&gt;"Not Contacted",J199=""),"Add last contact date",IF(AND(J199&lt;&gt;"",J199&gt;Setup!$I$4),"Last contact is after review date",IF(K199="Declined","Align status with declined outcome",IF(AND(L199&lt;&gt;"",L199&gt;G199),"Follow-up is after latest start",IF(AND(L199&lt;&gt;"",L199&lt;Setup!$I$4),"Follow-up overdue",IF(AND(L199&lt;&gt;"",L199&lt;=Setup!$I$4+Setup!$I$9),"Follow-up due soon",IF(AND(J199&lt;&gt;"",Setup!$I$4-J199&gt;Setup!$I$8),"Contact may be stale",""))))))))))</f>
        <v/>
      </c>
    </row>
    <row r="200" ht="22" customHeight="1">
      <c r="A200" s="13" t="n"/>
      <c r="B200" s="14" t="n"/>
      <c r="C200" s="15" t="n"/>
      <c r="D200" s="14" t="n"/>
      <c r="E200" s="14" t="n"/>
      <c r="F200" s="14" t="n"/>
      <c r="G200" s="14" t="n"/>
      <c r="H200" s="15" t="n"/>
      <c r="I200" s="13" t="n"/>
      <c r="J200" s="14" t="n"/>
      <c r="K200" s="15" t="n"/>
      <c r="L200" s="14" t="n"/>
      <c r="M200" s="16">
        <f>IF(OR(D200="",E200=""),"",12*(YEAR(E200)-YEAR(D200))+MONTH(E200)-MONTH(D200)-IF(DAY(E200)&lt;DAY(D200),1,0))</f>
        <v/>
      </c>
      <c r="N200" s="17">
        <f>IF(M200="","",IFERROR(IF(M200&lt;=VLOOKUP(M200,Setup!$A$4:$C$7,3,TRUE),VLOOKUP(M200,Setup!$A$4:$C$7,2,TRUE),"Outside configured ranges"),"Outside configured ranges"))</f>
        <v/>
      </c>
      <c r="O200" s="16">
        <f>IF(OR(B200="",B200&gt;Setup!$I$4),"",Setup!$I$4-B200)</f>
        <v/>
      </c>
      <c r="P200" s="16">
        <f>IF(G200="","",G200-Setup!$I$4)</f>
        <v/>
      </c>
      <c r="Q200" s="27">
        <f>IF(K200="","",IFERROR(VLOOKUP(K200,Setup!$E$4:$F$9,2,FALSE),""))</f>
        <v/>
      </c>
      <c r="R200" s="17">
        <f>IF(A200="","",IF(OR(B200="",C200="",D200="",E200="",F200="",G200="",H200="",I200="",K200=""),"Incomplete",IF(COUNTIF(Setup!$K$4:$K$8,I200)=0,"Invalid status",IF(COUNTIF(Setup!$L$4:$L$8,H200)=0,"Invalid schedule",IF(COUNTIF(Setup!$E$4:$E$9,K200)=0,"Invalid contact outcome",IF(I200&lt;&gt;"Active","Not active",IF(B200&gt;Setup!$I$4,"Future waitlist date",IF(D200&gt;E200,"Invalid age/date",IF(F200&gt;G200,"Invalid window",IF(OR(E200&lt;F200,E200&gt;G200),"Preferred date outside window",IF(G200&lt;Setup!$I$4,"Window expired",IF(OR(M200="",N200="Outside configured ranges"),"Outside age bands","Ready"))))))))))))</f>
        <v/>
      </c>
      <c r="S200" s="27">
        <f>IF(R200&lt;&gt;"Ready","",ROUND(O200*Setup!$I$5+MAX(0,Setup!$I$6-MAX(0,P200))*Setup!$I$7+Q200,1))</f>
        <v/>
      </c>
      <c r="T200" s="16">
        <f>IF(S200="","",1+COUNTIFS($R$2:$R$201,"Ready",$N$2:$N$201,N200,$S$2:$S$201,"&gt;"&amp;S200)+COUNTIFS($R$2:$R$201,"Ready",$N$2:$N$201,N200,$S$2:$S$201,"="&amp;S200,$B$2:$B$201,"&lt;"&amp;B200)+COUNTIFS($R$2:$R$201,"Ready",$N$2:$N$201,N200,$S$2:$S$201,"="&amp;S200,$B$2:$B$201,"="&amp;B200,$A$2:$A$201,"&lt;"&amp;A200))</f>
        <v/>
      </c>
      <c r="U200" s="17">
        <f>IF(A200="","",IF(R200&lt;&gt;"Ready",R200,IF(AND(K200="Not Contacted",J200&lt;&gt;""),"Clear last contact date or update outcome",IF(AND(K200&lt;&gt;"Not Contacted",J200=""),"Add last contact date",IF(AND(J200&lt;&gt;"",J200&gt;Setup!$I$4),"Last contact is after review date",IF(K200="Declined","Align status with declined outcome",IF(AND(L200&lt;&gt;"",L200&gt;G200),"Follow-up is after latest start",IF(AND(L200&lt;&gt;"",L200&lt;Setup!$I$4),"Follow-up overdue",IF(AND(L200&lt;&gt;"",L200&lt;=Setup!$I$4+Setup!$I$9),"Follow-up due soon",IF(AND(J200&lt;&gt;"",Setup!$I$4-J200&gt;Setup!$I$8),"Contact may be stale",""))))))))))</f>
        <v/>
      </c>
    </row>
    <row r="201" ht="22" customHeight="1">
      <c r="A201" s="13" t="n"/>
      <c r="B201" s="14" t="n"/>
      <c r="C201" s="15" t="n"/>
      <c r="D201" s="14" t="n"/>
      <c r="E201" s="14" t="n"/>
      <c r="F201" s="14" t="n"/>
      <c r="G201" s="14" t="n"/>
      <c r="H201" s="15" t="n"/>
      <c r="I201" s="13" t="n"/>
      <c r="J201" s="14" t="n"/>
      <c r="K201" s="15" t="n"/>
      <c r="L201" s="14" t="n"/>
      <c r="M201" s="16">
        <f>IF(OR(D201="",E201=""),"",12*(YEAR(E201)-YEAR(D201))+MONTH(E201)-MONTH(D201)-IF(DAY(E201)&lt;DAY(D201),1,0))</f>
        <v/>
      </c>
      <c r="N201" s="17">
        <f>IF(M201="","",IFERROR(IF(M201&lt;=VLOOKUP(M201,Setup!$A$4:$C$7,3,TRUE),VLOOKUP(M201,Setup!$A$4:$C$7,2,TRUE),"Outside configured ranges"),"Outside configured ranges"))</f>
        <v/>
      </c>
      <c r="O201" s="16">
        <f>IF(OR(B201="",B201&gt;Setup!$I$4),"",Setup!$I$4-B201)</f>
        <v/>
      </c>
      <c r="P201" s="16">
        <f>IF(G201="","",G201-Setup!$I$4)</f>
        <v/>
      </c>
      <c r="Q201" s="27">
        <f>IF(K201="","",IFERROR(VLOOKUP(K201,Setup!$E$4:$F$9,2,FALSE),""))</f>
        <v/>
      </c>
      <c r="R201" s="17">
        <f>IF(A201="","",IF(OR(B201="",C201="",D201="",E201="",F201="",G201="",H201="",I201="",K201=""),"Incomplete",IF(COUNTIF(Setup!$K$4:$K$8,I201)=0,"Invalid status",IF(COUNTIF(Setup!$L$4:$L$8,H201)=0,"Invalid schedule",IF(COUNTIF(Setup!$E$4:$E$9,K201)=0,"Invalid contact outcome",IF(I201&lt;&gt;"Active","Not active",IF(B201&gt;Setup!$I$4,"Future waitlist date",IF(D201&gt;E201,"Invalid age/date",IF(F201&gt;G201,"Invalid window",IF(OR(E201&lt;F201,E201&gt;G201),"Preferred date outside window",IF(G201&lt;Setup!$I$4,"Window expired",IF(OR(M201="",N201="Outside configured ranges"),"Outside age bands","Ready"))))))))))))</f>
        <v/>
      </c>
      <c r="S201" s="27">
        <f>IF(R201&lt;&gt;"Ready","",ROUND(O201*Setup!$I$5+MAX(0,Setup!$I$6-MAX(0,P201))*Setup!$I$7+Q201,1))</f>
        <v/>
      </c>
      <c r="T201" s="16">
        <f>IF(S201="","",1+COUNTIFS($R$2:$R$201,"Ready",$N$2:$N$201,N201,$S$2:$S$201,"&gt;"&amp;S201)+COUNTIFS($R$2:$R$201,"Ready",$N$2:$N$201,N201,$S$2:$S$201,"="&amp;S201,$B$2:$B$201,"&lt;"&amp;B201)+COUNTIFS($R$2:$R$201,"Ready",$N$2:$N$201,N201,$S$2:$S$201,"="&amp;S201,$B$2:$B$201,"="&amp;B201,$A$2:$A$201,"&lt;"&amp;A201))</f>
        <v/>
      </c>
      <c r="U201" s="17">
        <f>IF(A201="","",IF(R201&lt;&gt;"Ready",R201,IF(AND(K201="Not Contacted",J201&lt;&gt;""),"Clear last contact date or update outcome",IF(AND(K201&lt;&gt;"Not Contacted",J201=""),"Add last contact date",IF(AND(J201&lt;&gt;"",J201&gt;Setup!$I$4),"Last contact is after review date",IF(K201="Declined","Align status with declined outcome",IF(AND(L201&lt;&gt;"",L201&gt;G201),"Follow-up is after latest start",IF(AND(L201&lt;&gt;"",L201&lt;Setup!$I$4),"Follow-up overdue",IF(AND(L201&lt;&gt;"",L201&lt;=Setup!$I$4+Setup!$I$9),"Follow-up due soon",IF(AND(J201&lt;&gt;"",Setup!$I$4-J201&gt;Setup!$I$8),"Contact may be stale",""))))))))))</f>
        <v/>
      </c>
    </row>
  </sheetData>
  <autoFilter ref="A1:U201"/>
  <conditionalFormatting sqref="A2:A201">
    <cfRule type="expression" priority="1" dxfId="2" stopIfTrue="1">
      <formula>AND(A2&lt;&gt;"",COUNTIF($A$2:$A$201,A2)&gt;1)</formula>
    </cfRule>
  </conditionalFormatting>
  <conditionalFormatting sqref="R2:R201">
    <cfRule type="expression" priority="2" dxfId="0" stopIfTrue="1">
      <formula>R2="Ready"</formula>
    </cfRule>
    <cfRule type="expression" priority="3" dxfId="3" stopIfTrue="1">
      <formula>R2="Not active"</formula>
    </cfRule>
    <cfRule type="expression" priority="4" dxfId="2" stopIfTrue="1">
      <formula>AND(R2&lt;&gt;"",R2&lt;&gt;"Ready",R2&lt;&gt;"Not active")</formula>
    </cfRule>
  </conditionalFormatting>
  <conditionalFormatting sqref="P2:P201">
    <cfRule type="expression" priority="5" dxfId="2" stopIfTrue="1">
      <formula>AND(P2&lt;&gt;"",P2&lt;0)</formula>
    </cfRule>
  </conditionalFormatting>
  <conditionalFormatting sqref="T2:T201">
    <cfRule type="expression" priority="6" dxfId="0" stopIfTrue="1">
      <formula>AND($R2="Ready",$T2&gt;=1,$T2&lt;=3)</formula>
    </cfRule>
  </conditionalFormatting>
  <conditionalFormatting sqref="L2:L201">
    <cfRule type="expression" priority="7" dxfId="2" stopIfTrue="1">
      <formula>AND($I2="Active",$L2&lt;&gt;"",$L2&lt;Setup!$I$4)</formula>
    </cfRule>
    <cfRule type="expression" priority="8" dxfId="1" stopIfTrue="1">
      <formula>AND($I2="Active",$L2&lt;&gt;"",$L2&gt;=Setup!$I$4,$L2&lt;=Setup!$I$4+Setup!$I$9)</formula>
    </cfRule>
  </conditionalFormatting>
  <conditionalFormatting sqref="U2:U201">
    <cfRule type="expression" priority="9" dxfId="2" stopIfTrue="1">
      <formula>AND(U2&lt;&gt;"",OR(IFERROR(SEARCH("Invalid",U2),0)&gt;0,IFERROR(SEARCH("Incomplete",U2),0)&gt;0,IFERROR(SEARCH("expired",U2),0)&gt;0,IFERROR(SEARCH("outside",U2),0)&gt;0))</formula>
    </cfRule>
    <cfRule type="expression" priority="10" dxfId="2" stopIfTrue="1">
      <formula>AND(U2&lt;&gt;"",IFERROR(SEARCH("overdue",U2),0)&gt;0)</formula>
    </cfRule>
    <cfRule type="expression" priority="11" dxfId="1" stopIfTrue="1">
      <formula>AND(U2&lt;&gt;"",IFERROR(SEARCH("Invalid",U2),0)=0,IFERROR(SEARCH("Incomplete",U2),0)=0,IFERROR(SEARCH("expired",U2),0)=0,IFERROR(SEARCH("outside",U2),0)=0,IFERROR(SEARCH("overdue",U2),0)=0)</formula>
    </cfRule>
  </conditionalFormatting>
  <dataValidations count="7">
    <dataValidation sqref="A2:A201" showDropDown="0" showInputMessage="1" showErrorMessage="1" allowBlank="0" errorTitle="Invalid Request ID" error="Use a unique ID beginning with WL-, or leave the cell blank." promptTitle="Request ID" prompt="Enter a unique internal identifier such as WL-1001." type="custom">
      <formula1>=OR(A2="",AND(LEFT(A2,3)="WL-",COUNTIF($A$2:$A$201,A2)=1))</formula1>
    </dataValidation>
    <dataValidation sqref="C2:C201" showDropDown="0" showInputMessage="0" showErrorMessage="0" allowBlank="0" errorTitle="Alias Too Long" error="Family aliases must contain no more than 40 characters." type="textLength" operator="lessThanOrEqual">
      <formula1>40</formula1>
    </dataValidation>
    <dataValidation sqref="D2:D201" showDropDown="0" showInputMessage="0" showErrorMessage="0" allowBlank="0" errorTitle="Invalid Birth Date" error="Enter a date from 01/01/2018 through 12/31/2035, or leave it blank." type="date" operator="between">
      <formula1>DATE(2018,1,1)</formula1>
      <formula2>DATE(2035,12,31)</formula2>
    </dataValidation>
    <dataValidation sqref="B2:B201 E2:G201 J2:J201 L2:L201" showDropDown="0" showInputMessage="0" showErrorMessage="0" allowBlank="0" errorTitle="Invalid Date" error="Enter a date from 01/01/2024 through 12/31/2035, or leave it blank." type="date" operator="between">
      <formula1>DATE(2024,1,1)</formula1>
      <formula2>DATE(2035,12,31)</formula2>
    </dataValidation>
    <dataValidation sqref="H2:H201" showDropDown="0" showInputMessage="0" showErrorMessage="0" allowBlank="0" errorTitle="Invalid Schedule" error="Select a requested schedule from the Setup list." type="list">
      <formula1>=INDIRECT("Setup!$L$4:$L$8")</formula1>
    </dataValidation>
    <dataValidation sqref="I2:I201" showDropDown="0" showInputMessage="0" showErrorMessage="0" allowBlank="0" errorTitle="Invalid Request Status" error="Select a request status from the Setup list." type="list">
      <formula1>=INDIRECT("Setup!$K$4:$K$8")</formula1>
    </dataValidation>
    <dataValidation sqref="K2:K201" showDropDown="0" showInputMessage="0" showErrorMessage="0" allowBlank="0" errorTitle="Invalid Contact Outcome" error="Select a contact outcome from the Setup list." type="list">
      <formula1>=INDIRECT("Setup!$E$4:$E$9")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L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18" customWidth="1" min="3" max="3"/>
    <col width="3" customWidth="1" min="4" max="4"/>
    <col width="24" customWidth="1" min="5" max="5"/>
    <col width="17" customWidth="1" min="6" max="6"/>
    <col width="3" customWidth="1" min="7" max="7"/>
    <col width="35" customWidth="1" min="8" max="8"/>
    <col width="18" customWidth="1" min="9" max="9"/>
    <col width="3" customWidth="1" min="10" max="10"/>
    <col width="20" customWidth="1" min="11" max="11"/>
    <col width="22" customWidth="1" min="12" max="12"/>
  </cols>
  <sheetData>
    <row r="1" ht="28" customHeight="1">
      <c r="A1" s="1" t="inlineStr">
        <is>
          <t>Waitlist Review Setup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10" t="inlineStr">
        <is>
          <t>Age Groups</t>
        </is>
      </c>
      <c r="B2" s="10" t="n"/>
      <c r="C2" s="10" t="n"/>
      <c r="E2" s="10" t="inlineStr">
        <is>
          <t>Contact Outcomes</t>
        </is>
      </c>
      <c r="F2" s="10" t="n"/>
      <c r="H2" s="10" t="inlineStr">
        <is>
          <t>Review Assumptions</t>
        </is>
      </c>
      <c r="I2" s="10" t="n"/>
      <c r="K2" s="10" t="inlineStr">
        <is>
          <t>Validation Lists</t>
        </is>
      </c>
      <c r="L2" s="10" t="n"/>
    </row>
    <row r="3" ht="34" customHeight="1">
      <c r="A3" s="4" t="inlineStr">
        <is>
          <t>Min Age (Months)</t>
        </is>
      </c>
      <c r="B3" s="4" t="inlineStr">
        <is>
          <t>Age Group</t>
        </is>
      </c>
      <c r="C3" s="4" t="inlineStr">
        <is>
          <t>Max Age (Months)</t>
        </is>
      </c>
      <c r="E3" s="4" t="inlineStr">
        <is>
          <t>Contact Outcome</t>
        </is>
      </c>
      <c r="F3" s="4" t="inlineStr">
        <is>
          <t>Score Adjustment</t>
        </is>
      </c>
      <c r="H3" s="4" t="inlineStr">
        <is>
          <t>Assumption</t>
        </is>
      </c>
      <c r="I3" s="4" t="inlineStr">
        <is>
          <t>Value</t>
        </is>
      </c>
      <c r="K3" s="4" t="inlineStr">
        <is>
          <t>Request Status</t>
        </is>
      </c>
      <c r="L3" s="4" t="inlineStr">
        <is>
          <t>Requested Schedule</t>
        </is>
      </c>
    </row>
    <row r="4">
      <c r="A4" s="13" t="n">
        <v>0</v>
      </c>
      <c r="B4" s="19" t="inlineStr">
        <is>
          <t>Infant</t>
        </is>
      </c>
      <c r="C4" s="13" t="n">
        <v>17</v>
      </c>
      <c r="E4" s="19" t="inlineStr">
        <is>
          <t>Not Contacted</t>
        </is>
      </c>
      <c r="F4" s="28" t="n">
        <v>0</v>
      </c>
      <c r="H4" s="12" t="inlineStr">
        <is>
          <t>Review As Of</t>
        </is>
      </c>
      <c r="I4" s="14" t="n">
        <v>46274</v>
      </c>
      <c r="K4" s="19" t="inlineStr">
        <is>
          <t>Active</t>
        </is>
      </c>
      <c r="L4" s="19" t="inlineStr">
        <is>
          <t>Full Week</t>
        </is>
      </c>
    </row>
    <row r="5">
      <c r="A5" s="13" t="n">
        <v>18</v>
      </c>
      <c r="B5" s="19" t="inlineStr">
        <is>
          <t>Toddler</t>
        </is>
      </c>
      <c r="C5" s="13" t="n">
        <v>35</v>
      </c>
      <c r="E5" s="19" t="inlineStr">
        <is>
          <t>Reached - Interested</t>
        </is>
      </c>
      <c r="F5" s="28" t="n">
        <v>10</v>
      </c>
      <c r="H5" s="11" t="inlineStr">
        <is>
          <t>Wait Day Points</t>
        </is>
      </c>
      <c r="I5" s="28" t="n">
        <v>1</v>
      </c>
      <c r="K5" s="19" t="inlineStr">
        <is>
          <t>Paused</t>
        </is>
      </c>
      <c r="L5" s="19" t="inlineStr">
        <is>
          <t>Mon/Wed/Fri</t>
        </is>
      </c>
    </row>
    <row r="6">
      <c r="A6" s="13" t="n">
        <v>36</v>
      </c>
      <c r="B6" s="19" t="inlineStr">
        <is>
          <t>Preschool</t>
        </is>
      </c>
      <c r="C6" s="13" t="n">
        <v>47</v>
      </c>
      <c r="E6" s="19" t="inlineStr">
        <is>
          <t>Follow-Up Requested</t>
        </is>
      </c>
      <c r="F6" s="28" t="n">
        <v>5</v>
      </c>
      <c r="H6" s="12" t="inlineStr">
        <is>
          <t>Urgency Horizon (Days)</t>
        </is>
      </c>
      <c r="I6" s="21" t="n">
        <v>30</v>
      </c>
      <c r="K6" s="19" t="inlineStr">
        <is>
          <t>Offered</t>
        </is>
      </c>
      <c r="L6" s="19" t="inlineStr">
        <is>
          <t>Tue/Thu</t>
        </is>
      </c>
    </row>
    <row r="7">
      <c r="A7" s="13" t="n">
        <v>48</v>
      </c>
      <c r="B7" s="19" t="inlineStr">
        <is>
          <t>Pre-K</t>
        </is>
      </c>
      <c r="C7" s="13" t="n">
        <v>71</v>
      </c>
      <c r="E7" s="19" t="inlineStr">
        <is>
          <t>Voicemail Left</t>
        </is>
      </c>
      <c r="F7" s="28" t="n">
        <v>0</v>
      </c>
      <c r="H7" s="11" t="inlineStr">
        <is>
          <t>Urgency Points per Day</t>
        </is>
      </c>
      <c r="I7" s="28" t="n">
        <v>0.5</v>
      </c>
      <c r="K7" s="19" t="inlineStr">
        <is>
          <t>Placed</t>
        </is>
      </c>
      <c r="L7" s="19" t="inlineStr">
        <is>
          <t>Flexible</t>
        </is>
      </c>
    </row>
    <row r="8">
      <c r="E8" s="19" t="inlineStr">
        <is>
          <t>No Response</t>
        </is>
      </c>
      <c r="F8" s="28" t="n">
        <v>-10</v>
      </c>
      <c r="H8" s="12" t="inlineStr">
        <is>
          <t>Stale Contact After (Days)</t>
        </is>
      </c>
      <c r="I8" s="21" t="n">
        <v>14</v>
      </c>
      <c r="K8" s="19" t="inlineStr">
        <is>
          <t>Withdrawn</t>
        </is>
      </c>
      <c r="L8" s="19" t="inlineStr">
        <is>
          <t>Other</t>
        </is>
      </c>
    </row>
    <row r="9">
      <c r="E9" s="19" t="inlineStr">
        <is>
          <t>Declined</t>
        </is>
      </c>
      <c r="F9" s="28" t="n">
        <v>-50</v>
      </c>
      <c r="H9" s="11" t="inlineStr">
        <is>
          <t>Follow-Up Soon (Days)</t>
        </is>
      </c>
      <c r="I9" s="21" t="n">
        <v>3</v>
      </c>
    </row>
    <row r="10"/>
    <row r="11">
      <c r="H11" s="22" t="inlineStr">
        <is>
          <t>Age Band Check</t>
        </is>
      </c>
      <c r="I11" s="23">
        <f>IF(OR(COUNTBLANK(A4:C7)&gt;0,A4&lt;&gt;0,A4&gt;C4,A5&lt;&gt;C4+1,A5&gt;C5,A6&lt;&gt;C5+1,A6&gt;C6,A7&lt;&gt;C6+1,A7&gt;C7),"Review age band ranges","Age bands OK")</f>
        <v/>
      </c>
    </row>
    <row r="12"/>
    <row r="13" ht="52" customHeight="1">
      <c r="H13" s="24" t="inlineStr">
        <is>
          <t>Review Score is a configurable queue-review aid. Confirm current availability and center policy before taking action.</t>
        </is>
      </c>
    </row>
  </sheetData>
  <conditionalFormatting sqref="A4:C7 E4:F9 I4:I9 K4:L8">
    <cfRule type="expression" priority="1" dxfId="4">
      <formula>TRUE</formula>
    </cfRule>
  </conditionalFormatting>
  <conditionalFormatting sqref="I11">
    <cfRule type="expression" priority="2" dxfId="0" stopIfTrue="1">
      <formula>$I$11="Age bands OK"</formula>
    </cfRule>
    <cfRule type="expression" priority="3" dxfId="2" stopIfTrue="1">
      <formula>$I$11&lt;&gt;"Age bands OK"</formula>
    </cfRule>
  </conditionalFormatting>
  <dataValidations count="5">
    <dataValidation sqref="A4:A7 C4:C7" showDropDown="0" showInputMessage="0" showErrorMessage="0" allowBlank="0" errorTitle="Invalid Age Limit" error="Enter a whole number from 0 through 120." type="whole" operator="between">
      <formula1>0</formula1>
      <formula2>120</formula2>
    </dataValidation>
    <dataValidation sqref="F4:F9" showDropDown="0" showInputMessage="0" showErrorMessage="0" allowBlank="0" errorTitle="Invalid Score Adjustment" error="Enter a number from -1,000 through 1,000." type="decimal" operator="between">
      <formula1>-1000</formula1>
      <formula2>1000</formula2>
    </dataValidation>
    <dataValidation sqref="I4" showDropDown="0" showInputMessage="0" showErrorMessage="0" allowBlank="0" errorTitle="Invalid Review Date" error="Enter a date from 01/01/2024 through 12/31/2035." type="date" operator="between">
      <formula1>DATE(2024,1,1)</formula1>
      <formula2>DATE(2035,12,31)</formula2>
    </dataValidation>
    <dataValidation sqref="I5 I7" showDropDown="0" showInputMessage="0" showErrorMessage="0" allowBlank="0" errorTitle="Invalid Scoring Weight" error="Enter a nonnegative number no greater than 1,000." type="decimal" operator="between">
      <formula1>0</formula1>
      <formula2>1000</formula2>
    </dataValidation>
    <dataValidation sqref="I6 I8:I9" showDropDown="0" showInputMessage="0" showErrorMessage="0" allowBlank="0" errorTitle="Invalid Day Threshold" error="Enter a nonnegative whole number no greater than 10,000." type="whole" operator="between">
      <formula1>0</formula1>
      <formula2>10000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Independent Childcare Center</dc:creator>
  <dc:title xmlns:dc="http://purl.org/dc/elements/1.1/">Daycare Waitlist Tracker</dc:title>
  <dc:subject xmlns:dc="http://purl.org/dc/elements/1.1/">Administrative waitlist review aid</dc:subject>
  <dcterms:created xmlns:dcterms="http://purl.org/dc/terms/" xmlns:xsi="http://www.w3.org/2001/XMLSchema-instance" xsi:type="dcterms:W3CDTF">2026-09-09T15:54:29Z</dcterms:created>
  <dcterms:modified xmlns:dcterms="http://purl.org/dc/terms/" xmlns:xsi="http://www.w3.org/2001/XMLSchema-instance" xsi:type="dcterms:W3CDTF">2026-09-09T15:54:30+00:00Z</dcterms:modified>
</cp:coreProperties>
</file>